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Privat\OIK\Årsmöte\"/>
    </mc:Choice>
  </mc:AlternateContent>
  <xr:revisionPtr revIDLastSave="0" documentId="13_ncr:1_{85F09EE9-5201-4E8A-9605-FFC90CD42380}" xr6:coauthVersionLast="47" xr6:coauthVersionMax="47" xr10:uidLastSave="{00000000-0000-0000-0000-000000000000}"/>
  <bookViews>
    <workbookView xWindow="16680" yWindow="1560" windowWidth="19425" windowHeight="16290" xr2:uid="{00000000-000D-0000-FFFF-FFFF00000000}"/>
  </bookViews>
  <sheets>
    <sheet name="2022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84" i="10" l="1"/>
  <c r="M62" i="10"/>
  <c r="M66" i="10" s="1"/>
  <c r="F49" i="10"/>
  <c r="F62" i="10"/>
  <c r="H25" i="10"/>
  <c r="H75" i="10"/>
  <c r="H70" i="10"/>
  <c r="G70" i="10"/>
  <c r="G34" i="10"/>
  <c r="M69" i="10"/>
  <c r="H66" i="10"/>
  <c r="H38" i="10"/>
  <c r="H28" i="10"/>
  <c r="H15" i="10"/>
  <c r="G8" i="10"/>
  <c r="H81" i="10" l="1"/>
  <c r="H84" i="10" s="1"/>
  <c r="F73" i="10" l="1"/>
  <c r="F75" i="10" s="1"/>
  <c r="F69" i="10"/>
  <c r="F72" i="10" s="1"/>
  <c r="I66" i="10" l="1"/>
  <c r="I75" i="10"/>
  <c r="I38" i="10"/>
  <c r="I25" i="10"/>
  <c r="I15" i="10"/>
  <c r="I28" i="10" l="1"/>
  <c r="I81" i="10"/>
  <c r="I84" i="10" l="1"/>
  <c r="M50" i="10" l="1"/>
  <c r="K15" i="10"/>
  <c r="L15" i="10"/>
  <c r="K25" i="10"/>
  <c r="L25" i="10"/>
  <c r="K38" i="10"/>
  <c r="L38" i="10"/>
  <c r="K66" i="10"/>
  <c r="L66" i="10"/>
  <c r="K75" i="10"/>
  <c r="L75" i="10"/>
  <c r="F66" i="10"/>
  <c r="F38" i="10"/>
  <c r="F25" i="10"/>
  <c r="F15" i="10"/>
  <c r="L81" i="10" l="1"/>
  <c r="F81" i="10"/>
  <c r="L28" i="10"/>
  <c r="L84" i="10" s="1"/>
  <c r="K81" i="10"/>
  <c r="K28" i="10"/>
  <c r="F28" i="10"/>
  <c r="K84" i="10" l="1"/>
  <c r="F84" i="10"/>
  <c r="G75" i="10"/>
  <c r="G66" i="10"/>
  <c r="G38" i="10"/>
  <c r="G25" i="10"/>
  <c r="G15" i="10"/>
  <c r="G28" i="10" l="1"/>
  <c r="G81" i="10"/>
  <c r="G84" i="10" l="1"/>
  <c r="M56" i="10" l="1"/>
  <c r="M77" i="10"/>
  <c r="J75" i="10"/>
  <c r="C75" i="10"/>
  <c r="M72" i="10"/>
  <c r="E72" i="10"/>
  <c r="C72" i="10"/>
  <c r="M71" i="10"/>
  <c r="M70" i="10"/>
  <c r="E70" i="10"/>
  <c r="E69" i="10"/>
  <c r="C69" i="10"/>
  <c r="B68" i="10"/>
  <c r="J66" i="10"/>
  <c r="C66" i="10"/>
  <c r="M64" i="10"/>
  <c r="E64" i="10"/>
  <c r="C64" i="10"/>
  <c r="M63" i="10"/>
  <c r="E63" i="10"/>
  <c r="C63" i="10"/>
  <c r="M61" i="10"/>
  <c r="E61" i="10"/>
  <c r="C61" i="10"/>
  <c r="M60" i="10"/>
  <c r="E60" i="10"/>
  <c r="C60" i="10"/>
  <c r="M59" i="10"/>
  <c r="E59" i="10"/>
  <c r="C59" i="10"/>
  <c r="M58" i="10"/>
  <c r="C58" i="10"/>
  <c r="M57" i="10"/>
  <c r="E57" i="10"/>
  <c r="C57" i="10"/>
  <c r="M55" i="10"/>
  <c r="C55" i="10"/>
  <c r="M54" i="10"/>
  <c r="E54" i="10"/>
  <c r="C54" i="10"/>
  <c r="M53" i="10"/>
  <c r="E53" i="10"/>
  <c r="C53" i="10"/>
  <c r="M52" i="10"/>
  <c r="E52" i="10"/>
  <c r="C52" i="10"/>
  <c r="M51" i="10"/>
  <c r="C51" i="10"/>
  <c r="M49" i="10"/>
  <c r="E49" i="10"/>
  <c r="C49" i="10"/>
  <c r="M48" i="10"/>
  <c r="E48" i="10"/>
  <c r="C48" i="10"/>
  <c r="M47" i="10"/>
  <c r="C47" i="10"/>
  <c r="M46" i="10"/>
  <c r="E46" i="10"/>
  <c r="C46" i="10"/>
  <c r="M45" i="10"/>
  <c r="E45" i="10"/>
  <c r="M44" i="10"/>
  <c r="E44" i="10"/>
  <c r="C44" i="10"/>
  <c r="B43" i="10"/>
  <c r="A41" i="10"/>
  <c r="J38" i="10"/>
  <c r="C38" i="10"/>
  <c r="M36" i="10"/>
  <c r="E36" i="10"/>
  <c r="C36" i="10"/>
  <c r="M35" i="10"/>
  <c r="E35" i="10"/>
  <c r="C35" i="10"/>
  <c r="M34" i="10"/>
  <c r="E34" i="10"/>
  <c r="C34" i="10"/>
  <c r="M33" i="10"/>
  <c r="E33" i="10"/>
  <c r="C33" i="10"/>
  <c r="M32" i="10"/>
  <c r="E32" i="10"/>
  <c r="C32" i="10"/>
  <c r="B31" i="10"/>
  <c r="A30" i="10"/>
  <c r="B28" i="10"/>
  <c r="J25" i="10"/>
  <c r="M23" i="10"/>
  <c r="E23" i="10"/>
  <c r="C23" i="10"/>
  <c r="M22" i="10"/>
  <c r="M21" i="10"/>
  <c r="C21" i="10"/>
  <c r="M20" i="10"/>
  <c r="E20" i="10"/>
  <c r="C20" i="10"/>
  <c r="M19" i="10"/>
  <c r="E19" i="10"/>
  <c r="C19" i="10"/>
  <c r="M18" i="10"/>
  <c r="E18" i="10"/>
  <c r="C18" i="10"/>
  <c r="B17" i="10"/>
  <c r="J15" i="10"/>
  <c r="C15" i="10"/>
  <c r="M13" i="10"/>
  <c r="E13" i="10"/>
  <c r="C13" i="10"/>
  <c r="M12" i="10"/>
  <c r="M11" i="10"/>
  <c r="E11" i="10"/>
  <c r="C11" i="10"/>
  <c r="M10" i="10"/>
  <c r="E10" i="10"/>
  <c r="C10" i="10"/>
  <c r="M9" i="10"/>
  <c r="E9" i="10"/>
  <c r="C9" i="10"/>
  <c r="E8" i="10"/>
  <c r="C8" i="10"/>
  <c r="M7" i="10"/>
  <c r="E7" i="10"/>
  <c r="C7" i="10"/>
  <c r="B6" i="10"/>
  <c r="A5" i="10"/>
  <c r="M75" i="10" l="1"/>
  <c r="J81" i="10"/>
  <c r="M38" i="10"/>
  <c r="M25" i="10"/>
  <c r="J28" i="10"/>
  <c r="M8" i="10"/>
  <c r="M15" i="10" s="1"/>
  <c r="M81" i="10" l="1"/>
  <c r="J84" i="10"/>
  <c r="M28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norma</author>
    <author>Carola Strandberg</author>
  </authors>
  <commentList>
    <comment ref="I8" authorId="0" shapeId="0" xr:uid="{82A31FB0-1242-4D59-940E-B3A7D75409C5}">
      <text>
        <r>
          <rPr>
            <b/>
            <sz val="9"/>
            <color indexed="81"/>
            <rFont val="Tahoma"/>
            <family val="2"/>
          </rPr>
          <t>norma:</t>
        </r>
        <r>
          <rPr>
            <sz val="9"/>
            <color indexed="81"/>
            <rFont val="Tahoma"/>
            <family val="2"/>
          </rPr>
          <t xml:space="preserve">
Antal spelare IB x 600:-. 22/23 vardet ca 180 spelare IB.
180 x 600.</t>
        </r>
      </text>
    </comment>
    <comment ref="I18" authorId="0" shapeId="0" xr:uid="{EA2AF1D0-005A-4DA9-92B9-D35AF866D66A}">
      <text>
        <r>
          <rPr>
            <b/>
            <sz val="9"/>
            <color indexed="81"/>
            <rFont val="Tahoma"/>
            <family val="2"/>
          </rPr>
          <t>norma: Här blir det ett överslag då jag inte vet utfallet för iår.
Jag tänker såhär:</t>
        </r>
        <r>
          <rPr>
            <sz val="9"/>
            <color indexed="81"/>
            <rFont val="Tahoma"/>
            <family val="2"/>
          </rPr>
          <t xml:space="preserve">
LOK stöd=14:-/tim och barn + RF stöd=14:-/tim och barn = 28:-/tim och barn
2 tim/vecka (snitt)
23 veckor (okt - mars)
160 barn (ej A-laget)
66% närvaro (ett snitt jag haft i ca 20 år)
28*2*23*160*0,66=136000:-
Dela detta like mellan statligt och kommunalt stöd.</t>
        </r>
      </text>
    </comment>
    <comment ref="I19" authorId="0" shapeId="0" xr:uid="{66C06100-5E54-4F95-8770-EE141C272E28}">
      <text>
        <r>
          <rPr>
            <b/>
            <sz val="9"/>
            <color indexed="81"/>
            <rFont val="Tahoma"/>
            <family val="2"/>
          </rPr>
          <t>norma:</t>
        </r>
        <r>
          <rPr>
            <sz val="9"/>
            <color indexed="81"/>
            <rFont val="Tahoma"/>
            <family val="2"/>
          </rPr>
          <t xml:space="preserve">
Samma som ovan</t>
        </r>
      </text>
    </comment>
    <comment ref="I20" authorId="0" shapeId="0" xr:uid="{8C4BC488-CED8-4F72-AED5-89ADDEAD7A3D}">
      <text>
        <r>
          <rPr>
            <b/>
            <sz val="9"/>
            <color indexed="81"/>
            <rFont val="Tahoma"/>
            <family val="2"/>
          </rPr>
          <t>norma:</t>
        </r>
        <r>
          <rPr>
            <sz val="9"/>
            <color indexed="81"/>
            <rFont val="Tahoma"/>
            <family val="2"/>
          </rPr>
          <t xml:space="preserve">
Vet ej vad detta är eller har varit.</t>
        </r>
      </text>
    </comment>
    <comment ref="I32" authorId="0" shapeId="0" xr:uid="{D68B4472-CB0C-46F6-97A0-60E30FA322B6}">
      <text>
        <r>
          <rPr>
            <b/>
            <sz val="9"/>
            <color indexed="81"/>
            <rFont val="Tahoma"/>
            <family val="2"/>
          </rPr>
          <t>norma:</t>
        </r>
        <r>
          <rPr>
            <sz val="9"/>
            <color indexed="81"/>
            <rFont val="Tahoma"/>
            <family val="2"/>
          </rPr>
          <t xml:space="preserve">
1 matchställ</t>
        </r>
      </text>
    </comment>
    <comment ref="I34" authorId="0" shapeId="0" xr:uid="{EAF4F0A8-3041-4BD9-A0AA-6E87AF8B6E08}">
      <text>
        <r>
          <rPr>
            <b/>
            <sz val="9"/>
            <color indexed="81"/>
            <rFont val="Tahoma"/>
            <family val="2"/>
          </rPr>
          <t>norma:</t>
        </r>
        <r>
          <rPr>
            <sz val="9"/>
            <color indexed="81"/>
            <rFont val="Tahoma"/>
            <family val="2"/>
          </rPr>
          <t xml:space="preserve">
Taget från fjolåret</t>
        </r>
      </text>
    </comment>
    <comment ref="I35" authorId="0" shapeId="0" xr:uid="{8EE2EE18-1824-478C-B60F-B84E36F52F16}">
      <text>
        <r>
          <rPr>
            <b/>
            <sz val="9"/>
            <color indexed="81"/>
            <rFont val="Tahoma"/>
            <family val="2"/>
          </rPr>
          <t>norma:</t>
        </r>
        <r>
          <rPr>
            <sz val="9"/>
            <color indexed="81"/>
            <rFont val="Tahoma"/>
            <family val="2"/>
          </rPr>
          <t xml:space="preserve">
Inget damlag därav mindre summa än fjolåret.
</t>
        </r>
      </text>
    </comment>
    <comment ref="I36" authorId="0" shapeId="0" xr:uid="{34340023-DA88-456B-8898-D70494B74794}">
      <text>
        <r>
          <rPr>
            <b/>
            <sz val="9"/>
            <color indexed="81"/>
            <rFont val="Tahoma"/>
            <family val="2"/>
          </rPr>
          <t>norma:</t>
        </r>
        <r>
          <rPr>
            <sz val="9"/>
            <color indexed="81"/>
            <rFont val="Tahoma"/>
            <family val="2"/>
          </rPr>
          <t xml:space="preserve">
Nya västar kan behövas. Bollar, koner, sjukvårdsmateriel.</t>
        </r>
      </text>
    </comment>
    <comment ref="I44" authorId="0" shapeId="0" xr:uid="{206D3519-2976-4F29-AA7C-F2896248E124}">
      <text>
        <r>
          <rPr>
            <b/>
            <sz val="9"/>
            <color indexed="81"/>
            <rFont val="Tahoma"/>
            <family val="2"/>
          </rPr>
          <t>norma:</t>
        </r>
        <r>
          <rPr>
            <sz val="9"/>
            <color indexed="81"/>
            <rFont val="Tahoma"/>
            <family val="2"/>
          </rPr>
          <t xml:space="preserve">
Går på utfallet hittils i år som är ca 10000:-/månad sept-april.</t>
        </r>
      </text>
    </comment>
    <comment ref="I53" authorId="0" shapeId="0" xr:uid="{245E453B-6D97-4EE5-9AFE-333E1EA3ACA4}">
      <text>
        <r>
          <rPr>
            <b/>
            <sz val="9"/>
            <color indexed="81"/>
            <rFont val="Tahoma"/>
            <family val="2"/>
          </rPr>
          <t>norma:</t>
        </r>
        <r>
          <rPr>
            <sz val="9"/>
            <color indexed="81"/>
            <rFont val="Tahoma"/>
            <family val="2"/>
          </rPr>
          <t xml:space="preserve">
Hugger till med ett par tillfällen för nya ledare.</t>
        </r>
      </text>
    </comment>
    <comment ref="I54" authorId="0" shapeId="0" xr:uid="{5B21473C-F75A-4B97-B60A-1778994A63A2}">
      <text>
        <r>
          <rPr>
            <b/>
            <sz val="9"/>
            <color indexed="81"/>
            <rFont val="Tahoma"/>
            <family val="2"/>
          </rPr>
          <t>norma:</t>
        </r>
        <r>
          <rPr>
            <sz val="9"/>
            <color indexed="81"/>
            <rFont val="Tahoma"/>
            <family val="2"/>
          </rPr>
          <t xml:space="preserve">
A-lag herr x 2 bortamatcher som kräver buss.
</t>
        </r>
      </text>
    </comment>
    <comment ref="F69" authorId="1" shapeId="0" xr:uid="{B0AEF9A7-BFE9-4726-B00E-3C00854448AA}">
      <text>
        <r>
          <rPr>
            <b/>
            <sz val="9"/>
            <color indexed="81"/>
            <rFont val="Tahoma"/>
            <family val="2"/>
          </rPr>
          <t>Carola Strandberg:</t>
        </r>
        <r>
          <rPr>
            <sz val="9"/>
            <color indexed="81"/>
            <rFont val="Tahoma"/>
            <family val="2"/>
          </rPr>
          <t xml:space="preserve">
Nettokostnad efter bidrag arbetsförmedlingen. Räknat lön 221101-231231</t>
        </r>
      </text>
    </comment>
    <comment ref="I70" authorId="0" shapeId="0" xr:uid="{9935A18D-49CD-4254-8F27-ED114AF4B93A}">
      <text>
        <r>
          <rPr>
            <b/>
            <sz val="9"/>
            <color indexed="81"/>
            <rFont val="Tahoma"/>
            <family val="2"/>
          </rPr>
          <t>norma:</t>
        </r>
        <r>
          <rPr>
            <sz val="9"/>
            <color indexed="81"/>
            <rFont val="Tahoma"/>
            <family val="2"/>
          </rPr>
          <t xml:space="preserve">
Gått på utfallet i år. Ca 6000:- per månad. Okt-mars = 6 månader.</t>
        </r>
      </text>
    </comment>
  </commentList>
</comments>
</file>

<file path=xl/sharedStrings.xml><?xml version="1.0" encoding="utf-8"?>
<sst xmlns="http://schemas.openxmlformats.org/spreadsheetml/2006/main" count="34" uniqueCount="34">
  <si>
    <t>Gemensamt</t>
  </si>
  <si>
    <t>S:a Övriga rörelseintäkter</t>
  </si>
  <si>
    <t xml:space="preserve">S:a Rörelsens kostnader </t>
  </si>
  <si>
    <t xml:space="preserve">Rörelseresultat </t>
  </si>
  <si>
    <t>3990</t>
  </si>
  <si>
    <t>Bidrag skötsel fotbollsplaner</t>
  </si>
  <si>
    <t>5020</t>
  </si>
  <si>
    <t>Innebandy</t>
  </si>
  <si>
    <t>Skidor</t>
  </si>
  <si>
    <t>Totalt</t>
  </si>
  <si>
    <t>7310</t>
  </si>
  <si>
    <t>Telefonkostnader</t>
  </si>
  <si>
    <t>Cykel</t>
  </si>
  <si>
    <t>Övriga bidrag</t>
  </si>
  <si>
    <t>SCA Arena</t>
  </si>
  <si>
    <t>3730</t>
  </si>
  <si>
    <t>Förbrukningsinventarier &amp; mtrl</t>
  </si>
  <si>
    <t>7330</t>
  </si>
  <si>
    <t>Avskrivningar</t>
  </si>
  <si>
    <t>Reparationer &amp; service</t>
  </si>
  <si>
    <t>Annonser &amp; skyltar</t>
  </si>
  <si>
    <t>6060</t>
  </si>
  <si>
    <t>Avgifter Nox Finans</t>
  </si>
  <si>
    <t>7583</t>
  </si>
  <si>
    <t>FORA</t>
  </si>
  <si>
    <t>Lokalbidrag/Driftsbidrag</t>
  </si>
  <si>
    <t>Milersättning</t>
  </si>
  <si>
    <t>5210</t>
  </si>
  <si>
    <t>Hyra handikapptoalett</t>
  </si>
  <si>
    <t>6530</t>
  </si>
  <si>
    <t>Redovisningskostnader</t>
  </si>
  <si>
    <t>Fotboll ungdom</t>
  </si>
  <si>
    <t>Fotboll senior</t>
  </si>
  <si>
    <t>Budget Obbola IK 2022/2023 förlängt RÅ till 231231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</si>
</sst>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General"/>
    <numFmt numFmtId="165" formatCode="[$-41D]#,##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164" fontId="4" fillId="0" borderId="0"/>
  </cellStyleXfs>
  <cellXfs count="26">
    <xf numFmtId="0" fontId="0" fillId="0" borderId="0" xfId="0"/>
    <xf numFmtId="49" fontId="0" fillId="0" borderId="0" xfId="0" applyNumberFormat="1"/>
    <xf numFmtId="3" fontId="0" fillId="0" borderId="0" xfId="0" applyNumberFormat="1"/>
    <xf numFmtId="0" fontId="0" fillId="0" borderId="1" xfId="0" applyBorder="1"/>
    <xf numFmtId="0" fontId="1" fillId="0" borderId="0" xfId="0" applyFont="1"/>
    <xf numFmtId="0" fontId="0" fillId="0" borderId="0" xfId="0" applyAlignment="1">
      <alignment horizontal="left"/>
    </xf>
    <xf numFmtId="3" fontId="0" fillId="0" borderId="3" xfId="0" applyNumberFormat="1" applyBorder="1"/>
    <xf numFmtId="0" fontId="0" fillId="0" borderId="3" xfId="0" applyBorder="1"/>
    <xf numFmtId="49" fontId="1" fillId="0" borderId="0" xfId="0" applyNumberFormat="1" applyFont="1"/>
    <xf numFmtId="3" fontId="1" fillId="0" borderId="0" xfId="0" applyNumberFormat="1" applyFont="1"/>
    <xf numFmtId="0" fontId="1" fillId="0" borderId="2" xfId="0" applyFont="1" applyBorder="1" applyAlignment="1">
      <alignment horizontal="center"/>
    </xf>
    <xf numFmtId="49" fontId="2" fillId="0" borderId="0" xfId="0" applyNumberFormat="1" applyFont="1"/>
    <xf numFmtId="3" fontId="1" fillId="0" borderId="2" xfId="0" applyNumberFormat="1" applyFont="1" applyBorder="1" applyAlignment="1">
      <alignment horizontal="center"/>
    </xf>
    <xf numFmtId="3" fontId="0" fillId="2" borderId="0" xfId="0" applyNumberFormat="1" applyFill="1"/>
    <xf numFmtId="0" fontId="0" fillId="0" borderId="2" xfId="0" applyBorder="1"/>
    <xf numFmtId="165" fontId="5" fillId="0" borderId="0" xfId="1" applyNumberFormat="1" applyFont="1"/>
    <xf numFmtId="3" fontId="6" fillId="0" borderId="4" xfId="0" applyNumberFormat="1" applyFont="1" applyBorder="1" applyAlignment="1">
      <alignment horizontal="center"/>
    </xf>
    <xf numFmtId="3" fontId="0" fillId="0" borderId="1" xfId="0" applyNumberFormat="1" applyBorder="1"/>
    <xf numFmtId="3" fontId="6" fillId="0" borderId="0" xfId="0" applyNumberFormat="1" applyFont="1"/>
    <xf numFmtId="165" fontId="4" fillId="0" borderId="0" xfId="1" applyNumberFormat="1"/>
    <xf numFmtId="165" fontId="4" fillId="0" borderId="1" xfId="1" applyNumberFormat="1" applyBorder="1"/>
    <xf numFmtId="3" fontId="1" fillId="0" borderId="2" xfId="0" quotePrefix="1" applyNumberFormat="1" applyFont="1" applyBorder="1" applyAlignment="1">
      <alignment horizontal="center" wrapText="1"/>
    </xf>
    <xf numFmtId="3" fontId="3" fillId="0" borderId="0" xfId="0" applyNumberFormat="1" applyFont="1"/>
    <xf numFmtId="3" fontId="0" fillId="0" borderId="2" xfId="0" applyNumberFormat="1" applyBorder="1"/>
    <xf numFmtId="3" fontId="0" fillId="0" borderId="0" xfId="0" applyNumberFormat="1" applyAlignment="1">
      <alignment horizontal="right"/>
    </xf>
    <xf numFmtId="165" fontId="5" fillId="0" borderId="4" xfId="1" applyNumberFormat="1" applyFont="1" applyBorder="1" applyAlignment="1">
      <alignment horizontal="center" wrapText="1"/>
    </xf>
  </cellXfs>
  <cellStyles count="2">
    <cellStyle name="Excel Built-in Normal" xfId="1" xr:uid="{2C82F675-8DAD-4A2B-B607-8A583DC6A4B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0D1A0-45CC-40C4-B785-C69142441C1A}">
  <dimension ref="A1:M998"/>
  <sheetViews>
    <sheetView tabSelected="1" topLeftCell="A55" zoomScaleNormal="100" workbookViewId="0">
      <pane xSplit="5" topLeftCell="F1" activePane="topRight" state="frozen"/>
      <selection pane="topRight" activeCell="L90" sqref="L90"/>
    </sheetView>
  </sheetViews>
  <sheetFormatPr defaultRowHeight="15" x14ac:dyDescent="0.25"/>
  <cols>
    <col min="1" max="1" width="5.85546875" customWidth="1"/>
    <col min="2" max="2" width="3" customWidth="1"/>
    <col min="3" max="3" width="14.5703125" customWidth="1"/>
    <col min="4" max="4" width="5.5703125" customWidth="1"/>
    <col min="5" max="5" width="34.42578125" bestFit="1" customWidth="1"/>
    <col min="6" max="6" width="11.85546875" style="13" customWidth="1"/>
    <col min="7" max="8" width="11.85546875" style="2" customWidth="1"/>
    <col min="9" max="9" width="11.85546875" customWidth="1"/>
    <col min="10" max="12" width="11.85546875" style="2" customWidth="1"/>
    <col min="13" max="13" width="11.85546875" customWidth="1"/>
    <col min="248" max="248" width="5.85546875" customWidth="1"/>
    <col min="249" max="249" width="3" customWidth="1"/>
    <col min="250" max="250" width="14.5703125" customWidth="1"/>
    <col min="251" max="251" width="4.5703125" customWidth="1"/>
    <col min="252" max="252" width="5.5703125" customWidth="1"/>
    <col min="253" max="253" width="34.42578125" bestFit="1" customWidth="1"/>
    <col min="254" max="254" width="12.42578125" bestFit="1" customWidth="1"/>
    <col min="255" max="256" width="10.42578125" bestFit="1" customWidth="1"/>
    <col min="257" max="257" width="10.5703125" customWidth="1"/>
    <col min="258" max="258" width="11.85546875" customWidth="1"/>
    <col min="504" max="504" width="5.85546875" customWidth="1"/>
    <col min="505" max="505" width="3" customWidth="1"/>
    <col min="506" max="506" width="14.5703125" customWidth="1"/>
    <col min="507" max="507" width="4.5703125" customWidth="1"/>
    <col min="508" max="508" width="5.5703125" customWidth="1"/>
    <col min="509" max="509" width="34.42578125" bestFit="1" customWidth="1"/>
    <col min="510" max="510" width="12.42578125" bestFit="1" customWidth="1"/>
    <col min="511" max="512" width="10.42578125" bestFit="1" customWidth="1"/>
    <col min="513" max="513" width="10.5703125" customWidth="1"/>
    <col min="514" max="514" width="11.85546875" customWidth="1"/>
    <col min="760" max="760" width="5.85546875" customWidth="1"/>
    <col min="761" max="761" width="3" customWidth="1"/>
    <col min="762" max="762" width="14.5703125" customWidth="1"/>
    <col min="763" max="763" width="4.5703125" customWidth="1"/>
    <col min="764" max="764" width="5.5703125" customWidth="1"/>
    <col min="765" max="765" width="34.42578125" bestFit="1" customWidth="1"/>
    <col min="766" max="766" width="12.42578125" bestFit="1" customWidth="1"/>
    <col min="767" max="768" width="10.42578125" bestFit="1" customWidth="1"/>
    <col min="769" max="769" width="10.5703125" customWidth="1"/>
    <col min="770" max="770" width="11.85546875" customWidth="1"/>
    <col min="1016" max="1016" width="5.85546875" customWidth="1"/>
    <col min="1017" max="1017" width="3" customWidth="1"/>
    <col min="1018" max="1018" width="14.5703125" customWidth="1"/>
    <col min="1019" max="1019" width="4.5703125" customWidth="1"/>
    <col min="1020" max="1020" width="5.5703125" customWidth="1"/>
    <col min="1021" max="1021" width="34.42578125" bestFit="1" customWidth="1"/>
    <col min="1022" max="1022" width="12.42578125" bestFit="1" customWidth="1"/>
    <col min="1023" max="1024" width="10.42578125" bestFit="1" customWidth="1"/>
    <col min="1025" max="1025" width="10.5703125" customWidth="1"/>
    <col min="1026" max="1026" width="11.85546875" customWidth="1"/>
    <col min="1272" max="1272" width="5.85546875" customWidth="1"/>
    <col min="1273" max="1273" width="3" customWidth="1"/>
    <col min="1274" max="1274" width="14.5703125" customWidth="1"/>
    <col min="1275" max="1275" width="4.5703125" customWidth="1"/>
    <col min="1276" max="1276" width="5.5703125" customWidth="1"/>
    <col min="1277" max="1277" width="34.42578125" bestFit="1" customWidth="1"/>
    <col min="1278" max="1278" width="12.42578125" bestFit="1" customWidth="1"/>
    <col min="1279" max="1280" width="10.42578125" bestFit="1" customWidth="1"/>
    <col min="1281" max="1281" width="10.5703125" customWidth="1"/>
    <col min="1282" max="1282" width="11.85546875" customWidth="1"/>
    <col min="1528" max="1528" width="5.85546875" customWidth="1"/>
    <col min="1529" max="1529" width="3" customWidth="1"/>
    <col min="1530" max="1530" width="14.5703125" customWidth="1"/>
    <col min="1531" max="1531" width="4.5703125" customWidth="1"/>
    <col min="1532" max="1532" width="5.5703125" customWidth="1"/>
    <col min="1533" max="1533" width="34.42578125" bestFit="1" customWidth="1"/>
    <col min="1534" max="1534" width="12.42578125" bestFit="1" customWidth="1"/>
    <col min="1535" max="1536" width="10.42578125" bestFit="1" customWidth="1"/>
    <col min="1537" max="1537" width="10.5703125" customWidth="1"/>
    <col min="1538" max="1538" width="11.85546875" customWidth="1"/>
    <col min="1784" max="1784" width="5.85546875" customWidth="1"/>
    <col min="1785" max="1785" width="3" customWidth="1"/>
    <col min="1786" max="1786" width="14.5703125" customWidth="1"/>
    <col min="1787" max="1787" width="4.5703125" customWidth="1"/>
    <col min="1788" max="1788" width="5.5703125" customWidth="1"/>
    <col min="1789" max="1789" width="34.42578125" bestFit="1" customWidth="1"/>
    <col min="1790" max="1790" width="12.42578125" bestFit="1" customWidth="1"/>
    <col min="1791" max="1792" width="10.42578125" bestFit="1" customWidth="1"/>
    <col min="1793" max="1793" width="10.5703125" customWidth="1"/>
    <col min="1794" max="1794" width="11.85546875" customWidth="1"/>
    <col min="2040" max="2040" width="5.85546875" customWidth="1"/>
    <col min="2041" max="2041" width="3" customWidth="1"/>
    <col min="2042" max="2042" width="14.5703125" customWidth="1"/>
    <col min="2043" max="2043" width="4.5703125" customWidth="1"/>
    <col min="2044" max="2044" width="5.5703125" customWidth="1"/>
    <col min="2045" max="2045" width="34.42578125" bestFit="1" customWidth="1"/>
    <col min="2046" max="2046" width="12.42578125" bestFit="1" customWidth="1"/>
    <col min="2047" max="2048" width="10.42578125" bestFit="1" customWidth="1"/>
    <col min="2049" max="2049" width="10.5703125" customWidth="1"/>
    <col min="2050" max="2050" width="11.85546875" customWidth="1"/>
    <col min="2296" max="2296" width="5.85546875" customWidth="1"/>
    <col min="2297" max="2297" width="3" customWidth="1"/>
    <col min="2298" max="2298" width="14.5703125" customWidth="1"/>
    <col min="2299" max="2299" width="4.5703125" customWidth="1"/>
    <col min="2300" max="2300" width="5.5703125" customWidth="1"/>
    <col min="2301" max="2301" width="34.42578125" bestFit="1" customWidth="1"/>
    <col min="2302" max="2302" width="12.42578125" bestFit="1" customWidth="1"/>
    <col min="2303" max="2304" width="10.42578125" bestFit="1" customWidth="1"/>
    <col min="2305" max="2305" width="10.5703125" customWidth="1"/>
    <col min="2306" max="2306" width="11.85546875" customWidth="1"/>
    <col min="2552" max="2552" width="5.85546875" customWidth="1"/>
    <col min="2553" max="2553" width="3" customWidth="1"/>
    <col min="2554" max="2554" width="14.5703125" customWidth="1"/>
    <col min="2555" max="2555" width="4.5703125" customWidth="1"/>
    <col min="2556" max="2556" width="5.5703125" customWidth="1"/>
    <col min="2557" max="2557" width="34.42578125" bestFit="1" customWidth="1"/>
    <col min="2558" max="2558" width="12.42578125" bestFit="1" customWidth="1"/>
    <col min="2559" max="2560" width="10.42578125" bestFit="1" customWidth="1"/>
    <col min="2561" max="2561" width="10.5703125" customWidth="1"/>
    <col min="2562" max="2562" width="11.85546875" customWidth="1"/>
    <col min="2808" max="2808" width="5.85546875" customWidth="1"/>
    <col min="2809" max="2809" width="3" customWidth="1"/>
    <col min="2810" max="2810" width="14.5703125" customWidth="1"/>
    <col min="2811" max="2811" width="4.5703125" customWidth="1"/>
    <col min="2812" max="2812" width="5.5703125" customWidth="1"/>
    <col min="2813" max="2813" width="34.42578125" bestFit="1" customWidth="1"/>
    <col min="2814" max="2814" width="12.42578125" bestFit="1" customWidth="1"/>
    <col min="2815" max="2816" width="10.42578125" bestFit="1" customWidth="1"/>
    <col min="2817" max="2817" width="10.5703125" customWidth="1"/>
    <col min="2818" max="2818" width="11.85546875" customWidth="1"/>
    <col min="3064" max="3064" width="5.85546875" customWidth="1"/>
    <col min="3065" max="3065" width="3" customWidth="1"/>
    <col min="3066" max="3066" width="14.5703125" customWidth="1"/>
    <col min="3067" max="3067" width="4.5703125" customWidth="1"/>
    <col min="3068" max="3068" width="5.5703125" customWidth="1"/>
    <col min="3069" max="3069" width="34.42578125" bestFit="1" customWidth="1"/>
    <col min="3070" max="3070" width="12.42578125" bestFit="1" customWidth="1"/>
    <col min="3071" max="3072" width="10.42578125" bestFit="1" customWidth="1"/>
    <col min="3073" max="3073" width="10.5703125" customWidth="1"/>
    <col min="3074" max="3074" width="11.85546875" customWidth="1"/>
    <col min="3320" max="3320" width="5.85546875" customWidth="1"/>
    <col min="3321" max="3321" width="3" customWidth="1"/>
    <col min="3322" max="3322" width="14.5703125" customWidth="1"/>
    <col min="3323" max="3323" width="4.5703125" customWidth="1"/>
    <col min="3324" max="3324" width="5.5703125" customWidth="1"/>
    <col min="3325" max="3325" width="34.42578125" bestFit="1" customWidth="1"/>
    <col min="3326" max="3326" width="12.42578125" bestFit="1" customWidth="1"/>
    <col min="3327" max="3328" width="10.42578125" bestFit="1" customWidth="1"/>
    <col min="3329" max="3329" width="10.5703125" customWidth="1"/>
    <col min="3330" max="3330" width="11.85546875" customWidth="1"/>
    <col min="3576" max="3576" width="5.85546875" customWidth="1"/>
    <col min="3577" max="3577" width="3" customWidth="1"/>
    <col min="3578" max="3578" width="14.5703125" customWidth="1"/>
    <col min="3579" max="3579" width="4.5703125" customWidth="1"/>
    <col min="3580" max="3580" width="5.5703125" customWidth="1"/>
    <col min="3581" max="3581" width="34.42578125" bestFit="1" customWidth="1"/>
    <col min="3582" max="3582" width="12.42578125" bestFit="1" customWidth="1"/>
    <col min="3583" max="3584" width="10.42578125" bestFit="1" customWidth="1"/>
    <col min="3585" max="3585" width="10.5703125" customWidth="1"/>
    <col min="3586" max="3586" width="11.85546875" customWidth="1"/>
    <col min="3832" max="3832" width="5.85546875" customWidth="1"/>
    <col min="3833" max="3833" width="3" customWidth="1"/>
    <col min="3834" max="3834" width="14.5703125" customWidth="1"/>
    <col min="3835" max="3835" width="4.5703125" customWidth="1"/>
    <col min="3836" max="3836" width="5.5703125" customWidth="1"/>
    <col min="3837" max="3837" width="34.42578125" bestFit="1" customWidth="1"/>
    <col min="3838" max="3838" width="12.42578125" bestFit="1" customWidth="1"/>
    <col min="3839" max="3840" width="10.42578125" bestFit="1" customWidth="1"/>
    <col min="3841" max="3841" width="10.5703125" customWidth="1"/>
    <col min="3842" max="3842" width="11.85546875" customWidth="1"/>
    <col min="4088" max="4088" width="5.85546875" customWidth="1"/>
    <col min="4089" max="4089" width="3" customWidth="1"/>
    <col min="4090" max="4090" width="14.5703125" customWidth="1"/>
    <col min="4091" max="4091" width="4.5703125" customWidth="1"/>
    <col min="4092" max="4092" width="5.5703125" customWidth="1"/>
    <col min="4093" max="4093" width="34.42578125" bestFit="1" customWidth="1"/>
    <col min="4094" max="4094" width="12.42578125" bestFit="1" customWidth="1"/>
    <col min="4095" max="4096" width="10.42578125" bestFit="1" customWidth="1"/>
    <col min="4097" max="4097" width="10.5703125" customWidth="1"/>
    <col min="4098" max="4098" width="11.85546875" customWidth="1"/>
    <col min="4344" max="4344" width="5.85546875" customWidth="1"/>
    <col min="4345" max="4345" width="3" customWidth="1"/>
    <col min="4346" max="4346" width="14.5703125" customWidth="1"/>
    <col min="4347" max="4347" width="4.5703125" customWidth="1"/>
    <col min="4348" max="4348" width="5.5703125" customWidth="1"/>
    <col min="4349" max="4349" width="34.42578125" bestFit="1" customWidth="1"/>
    <col min="4350" max="4350" width="12.42578125" bestFit="1" customWidth="1"/>
    <col min="4351" max="4352" width="10.42578125" bestFit="1" customWidth="1"/>
    <col min="4353" max="4353" width="10.5703125" customWidth="1"/>
    <col min="4354" max="4354" width="11.85546875" customWidth="1"/>
    <col min="4600" max="4600" width="5.85546875" customWidth="1"/>
    <col min="4601" max="4601" width="3" customWidth="1"/>
    <col min="4602" max="4602" width="14.5703125" customWidth="1"/>
    <col min="4603" max="4603" width="4.5703125" customWidth="1"/>
    <col min="4604" max="4604" width="5.5703125" customWidth="1"/>
    <col min="4605" max="4605" width="34.42578125" bestFit="1" customWidth="1"/>
    <col min="4606" max="4606" width="12.42578125" bestFit="1" customWidth="1"/>
    <col min="4607" max="4608" width="10.42578125" bestFit="1" customWidth="1"/>
    <col min="4609" max="4609" width="10.5703125" customWidth="1"/>
    <col min="4610" max="4610" width="11.85546875" customWidth="1"/>
    <col min="4856" max="4856" width="5.85546875" customWidth="1"/>
    <col min="4857" max="4857" width="3" customWidth="1"/>
    <col min="4858" max="4858" width="14.5703125" customWidth="1"/>
    <col min="4859" max="4859" width="4.5703125" customWidth="1"/>
    <col min="4860" max="4860" width="5.5703125" customWidth="1"/>
    <col min="4861" max="4861" width="34.42578125" bestFit="1" customWidth="1"/>
    <col min="4862" max="4862" width="12.42578125" bestFit="1" customWidth="1"/>
    <col min="4863" max="4864" width="10.42578125" bestFit="1" customWidth="1"/>
    <col min="4865" max="4865" width="10.5703125" customWidth="1"/>
    <col min="4866" max="4866" width="11.85546875" customWidth="1"/>
    <col min="5112" max="5112" width="5.85546875" customWidth="1"/>
    <col min="5113" max="5113" width="3" customWidth="1"/>
    <col min="5114" max="5114" width="14.5703125" customWidth="1"/>
    <col min="5115" max="5115" width="4.5703125" customWidth="1"/>
    <col min="5116" max="5116" width="5.5703125" customWidth="1"/>
    <col min="5117" max="5117" width="34.42578125" bestFit="1" customWidth="1"/>
    <col min="5118" max="5118" width="12.42578125" bestFit="1" customWidth="1"/>
    <col min="5119" max="5120" width="10.42578125" bestFit="1" customWidth="1"/>
    <col min="5121" max="5121" width="10.5703125" customWidth="1"/>
    <col min="5122" max="5122" width="11.85546875" customWidth="1"/>
    <col min="5368" max="5368" width="5.85546875" customWidth="1"/>
    <col min="5369" max="5369" width="3" customWidth="1"/>
    <col min="5370" max="5370" width="14.5703125" customWidth="1"/>
    <col min="5371" max="5371" width="4.5703125" customWidth="1"/>
    <col min="5372" max="5372" width="5.5703125" customWidth="1"/>
    <col min="5373" max="5373" width="34.42578125" bestFit="1" customWidth="1"/>
    <col min="5374" max="5374" width="12.42578125" bestFit="1" customWidth="1"/>
    <col min="5375" max="5376" width="10.42578125" bestFit="1" customWidth="1"/>
    <col min="5377" max="5377" width="10.5703125" customWidth="1"/>
    <col min="5378" max="5378" width="11.85546875" customWidth="1"/>
    <col min="5624" max="5624" width="5.85546875" customWidth="1"/>
    <col min="5625" max="5625" width="3" customWidth="1"/>
    <col min="5626" max="5626" width="14.5703125" customWidth="1"/>
    <col min="5627" max="5627" width="4.5703125" customWidth="1"/>
    <col min="5628" max="5628" width="5.5703125" customWidth="1"/>
    <col min="5629" max="5629" width="34.42578125" bestFit="1" customWidth="1"/>
    <col min="5630" max="5630" width="12.42578125" bestFit="1" customWidth="1"/>
    <col min="5631" max="5632" width="10.42578125" bestFit="1" customWidth="1"/>
    <col min="5633" max="5633" width="10.5703125" customWidth="1"/>
    <col min="5634" max="5634" width="11.85546875" customWidth="1"/>
    <col min="5880" max="5880" width="5.85546875" customWidth="1"/>
    <col min="5881" max="5881" width="3" customWidth="1"/>
    <col min="5882" max="5882" width="14.5703125" customWidth="1"/>
    <col min="5883" max="5883" width="4.5703125" customWidth="1"/>
    <col min="5884" max="5884" width="5.5703125" customWidth="1"/>
    <col min="5885" max="5885" width="34.42578125" bestFit="1" customWidth="1"/>
    <col min="5886" max="5886" width="12.42578125" bestFit="1" customWidth="1"/>
    <col min="5887" max="5888" width="10.42578125" bestFit="1" customWidth="1"/>
    <col min="5889" max="5889" width="10.5703125" customWidth="1"/>
    <col min="5890" max="5890" width="11.85546875" customWidth="1"/>
    <col min="6136" max="6136" width="5.85546875" customWidth="1"/>
    <col min="6137" max="6137" width="3" customWidth="1"/>
    <col min="6138" max="6138" width="14.5703125" customWidth="1"/>
    <col min="6139" max="6139" width="4.5703125" customWidth="1"/>
    <col min="6140" max="6140" width="5.5703125" customWidth="1"/>
    <col min="6141" max="6141" width="34.42578125" bestFit="1" customWidth="1"/>
    <col min="6142" max="6142" width="12.42578125" bestFit="1" customWidth="1"/>
    <col min="6143" max="6144" width="10.42578125" bestFit="1" customWidth="1"/>
    <col min="6145" max="6145" width="10.5703125" customWidth="1"/>
    <col min="6146" max="6146" width="11.85546875" customWidth="1"/>
    <col min="6392" max="6392" width="5.85546875" customWidth="1"/>
    <col min="6393" max="6393" width="3" customWidth="1"/>
    <col min="6394" max="6394" width="14.5703125" customWidth="1"/>
    <col min="6395" max="6395" width="4.5703125" customWidth="1"/>
    <col min="6396" max="6396" width="5.5703125" customWidth="1"/>
    <col min="6397" max="6397" width="34.42578125" bestFit="1" customWidth="1"/>
    <col min="6398" max="6398" width="12.42578125" bestFit="1" customWidth="1"/>
    <col min="6399" max="6400" width="10.42578125" bestFit="1" customWidth="1"/>
    <col min="6401" max="6401" width="10.5703125" customWidth="1"/>
    <col min="6402" max="6402" width="11.85546875" customWidth="1"/>
    <col min="6648" max="6648" width="5.85546875" customWidth="1"/>
    <col min="6649" max="6649" width="3" customWidth="1"/>
    <col min="6650" max="6650" width="14.5703125" customWidth="1"/>
    <col min="6651" max="6651" width="4.5703125" customWidth="1"/>
    <col min="6652" max="6652" width="5.5703125" customWidth="1"/>
    <col min="6653" max="6653" width="34.42578125" bestFit="1" customWidth="1"/>
    <col min="6654" max="6654" width="12.42578125" bestFit="1" customWidth="1"/>
    <col min="6655" max="6656" width="10.42578125" bestFit="1" customWidth="1"/>
    <col min="6657" max="6657" width="10.5703125" customWidth="1"/>
    <col min="6658" max="6658" width="11.85546875" customWidth="1"/>
    <col min="6904" max="6904" width="5.85546875" customWidth="1"/>
    <col min="6905" max="6905" width="3" customWidth="1"/>
    <col min="6906" max="6906" width="14.5703125" customWidth="1"/>
    <col min="6907" max="6907" width="4.5703125" customWidth="1"/>
    <col min="6908" max="6908" width="5.5703125" customWidth="1"/>
    <col min="6909" max="6909" width="34.42578125" bestFit="1" customWidth="1"/>
    <col min="6910" max="6910" width="12.42578125" bestFit="1" customWidth="1"/>
    <col min="6911" max="6912" width="10.42578125" bestFit="1" customWidth="1"/>
    <col min="6913" max="6913" width="10.5703125" customWidth="1"/>
    <col min="6914" max="6914" width="11.85546875" customWidth="1"/>
    <col min="7160" max="7160" width="5.85546875" customWidth="1"/>
    <col min="7161" max="7161" width="3" customWidth="1"/>
    <col min="7162" max="7162" width="14.5703125" customWidth="1"/>
    <col min="7163" max="7163" width="4.5703125" customWidth="1"/>
    <col min="7164" max="7164" width="5.5703125" customWidth="1"/>
    <col min="7165" max="7165" width="34.42578125" bestFit="1" customWidth="1"/>
    <col min="7166" max="7166" width="12.42578125" bestFit="1" customWidth="1"/>
    <col min="7167" max="7168" width="10.42578125" bestFit="1" customWidth="1"/>
    <col min="7169" max="7169" width="10.5703125" customWidth="1"/>
    <col min="7170" max="7170" width="11.85546875" customWidth="1"/>
    <col min="7416" max="7416" width="5.85546875" customWidth="1"/>
    <col min="7417" max="7417" width="3" customWidth="1"/>
    <col min="7418" max="7418" width="14.5703125" customWidth="1"/>
    <col min="7419" max="7419" width="4.5703125" customWidth="1"/>
    <col min="7420" max="7420" width="5.5703125" customWidth="1"/>
    <col min="7421" max="7421" width="34.42578125" bestFit="1" customWidth="1"/>
    <col min="7422" max="7422" width="12.42578125" bestFit="1" customWidth="1"/>
    <col min="7423" max="7424" width="10.42578125" bestFit="1" customWidth="1"/>
    <col min="7425" max="7425" width="10.5703125" customWidth="1"/>
    <col min="7426" max="7426" width="11.85546875" customWidth="1"/>
    <col min="7672" max="7672" width="5.85546875" customWidth="1"/>
    <col min="7673" max="7673" width="3" customWidth="1"/>
    <col min="7674" max="7674" width="14.5703125" customWidth="1"/>
    <col min="7675" max="7675" width="4.5703125" customWidth="1"/>
    <col min="7676" max="7676" width="5.5703125" customWidth="1"/>
    <col min="7677" max="7677" width="34.42578125" bestFit="1" customWidth="1"/>
    <col min="7678" max="7678" width="12.42578125" bestFit="1" customWidth="1"/>
    <col min="7679" max="7680" width="10.42578125" bestFit="1" customWidth="1"/>
    <col min="7681" max="7681" width="10.5703125" customWidth="1"/>
    <col min="7682" max="7682" width="11.85546875" customWidth="1"/>
    <col min="7928" max="7928" width="5.85546875" customWidth="1"/>
    <col min="7929" max="7929" width="3" customWidth="1"/>
    <col min="7930" max="7930" width="14.5703125" customWidth="1"/>
    <col min="7931" max="7931" width="4.5703125" customWidth="1"/>
    <col min="7932" max="7932" width="5.5703125" customWidth="1"/>
    <col min="7933" max="7933" width="34.42578125" bestFit="1" customWidth="1"/>
    <col min="7934" max="7934" width="12.42578125" bestFit="1" customWidth="1"/>
    <col min="7935" max="7936" width="10.42578125" bestFit="1" customWidth="1"/>
    <col min="7937" max="7937" width="10.5703125" customWidth="1"/>
    <col min="7938" max="7938" width="11.85546875" customWidth="1"/>
    <col min="8184" max="8184" width="5.85546875" customWidth="1"/>
    <col min="8185" max="8185" width="3" customWidth="1"/>
    <col min="8186" max="8186" width="14.5703125" customWidth="1"/>
    <col min="8187" max="8187" width="4.5703125" customWidth="1"/>
    <col min="8188" max="8188" width="5.5703125" customWidth="1"/>
    <col min="8189" max="8189" width="34.42578125" bestFit="1" customWidth="1"/>
    <col min="8190" max="8190" width="12.42578125" bestFit="1" customWidth="1"/>
    <col min="8191" max="8192" width="10.42578125" bestFit="1" customWidth="1"/>
    <col min="8193" max="8193" width="10.5703125" customWidth="1"/>
    <col min="8194" max="8194" width="11.85546875" customWidth="1"/>
    <col min="8440" max="8440" width="5.85546875" customWidth="1"/>
    <col min="8441" max="8441" width="3" customWidth="1"/>
    <col min="8442" max="8442" width="14.5703125" customWidth="1"/>
    <col min="8443" max="8443" width="4.5703125" customWidth="1"/>
    <col min="8444" max="8444" width="5.5703125" customWidth="1"/>
    <col min="8445" max="8445" width="34.42578125" bestFit="1" customWidth="1"/>
    <col min="8446" max="8446" width="12.42578125" bestFit="1" customWidth="1"/>
    <col min="8447" max="8448" width="10.42578125" bestFit="1" customWidth="1"/>
    <col min="8449" max="8449" width="10.5703125" customWidth="1"/>
    <col min="8450" max="8450" width="11.85546875" customWidth="1"/>
    <col min="8696" max="8696" width="5.85546875" customWidth="1"/>
    <col min="8697" max="8697" width="3" customWidth="1"/>
    <col min="8698" max="8698" width="14.5703125" customWidth="1"/>
    <col min="8699" max="8699" width="4.5703125" customWidth="1"/>
    <col min="8700" max="8700" width="5.5703125" customWidth="1"/>
    <col min="8701" max="8701" width="34.42578125" bestFit="1" customWidth="1"/>
    <col min="8702" max="8702" width="12.42578125" bestFit="1" customWidth="1"/>
    <col min="8703" max="8704" width="10.42578125" bestFit="1" customWidth="1"/>
    <col min="8705" max="8705" width="10.5703125" customWidth="1"/>
    <col min="8706" max="8706" width="11.85546875" customWidth="1"/>
    <col min="8952" max="8952" width="5.85546875" customWidth="1"/>
    <col min="8953" max="8953" width="3" customWidth="1"/>
    <col min="8954" max="8954" width="14.5703125" customWidth="1"/>
    <col min="8955" max="8955" width="4.5703125" customWidth="1"/>
    <col min="8956" max="8956" width="5.5703125" customWidth="1"/>
    <col min="8957" max="8957" width="34.42578125" bestFit="1" customWidth="1"/>
    <col min="8958" max="8958" width="12.42578125" bestFit="1" customWidth="1"/>
    <col min="8959" max="8960" width="10.42578125" bestFit="1" customWidth="1"/>
    <col min="8961" max="8961" width="10.5703125" customWidth="1"/>
    <col min="8962" max="8962" width="11.85546875" customWidth="1"/>
    <col min="9208" max="9208" width="5.85546875" customWidth="1"/>
    <col min="9209" max="9209" width="3" customWidth="1"/>
    <col min="9210" max="9210" width="14.5703125" customWidth="1"/>
    <col min="9211" max="9211" width="4.5703125" customWidth="1"/>
    <col min="9212" max="9212" width="5.5703125" customWidth="1"/>
    <col min="9213" max="9213" width="34.42578125" bestFit="1" customWidth="1"/>
    <col min="9214" max="9214" width="12.42578125" bestFit="1" customWidth="1"/>
    <col min="9215" max="9216" width="10.42578125" bestFit="1" customWidth="1"/>
    <col min="9217" max="9217" width="10.5703125" customWidth="1"/>
    <col min="9218" max="9218" width="11.85546875" customWidth="1"/>
    <col min="9464" max="9464" width="5.85546875" customWidth="1"/>
    <col min="9465" max="9465" width="3" customWidth="1"/>
    <col min="9466" max="9466" width="14.5703125" customWidth="1"/>
    <col min="9467" max="9467" width="4.5703125" customWidth="1"/>
    <col min="9468" max="9468" width="5.5703125" customWidth="1"/>
    <col min="9469" max="9469" width="34.42578125" bestFit="1" customWidth="1"/>
    <col min="9470" max="9470" width="12.42578125" bestFit="1" customWidth="1"/>
    <col min="9471" max="9472" width="10.42578125" bestFit="1" customWidth="1"/>
    <col min="9473" max="9473" width="10.5703125" customWidth="1"/>
    <col min="9474" max="9474" width="11.85546875" customWidth="1"/>
    <col min="9720" max="9720" width="5.85546875" customWidth="1"/>
    <col min="9721" max="9721" width="3" customWidth="1"/>
    <col min="9722" max="9722" width="14.5703125" customWidth="1"/>
    <col min="9723" max="9723" width="4.5703125" customWidth="1"/>
    <col min="9724" max="9724" width="5.5703125" customWidth="1"/>
    <col min="9725" max="9725" width="34.42578125" bestFit="1" customWidth="1"/>
    <col min="9726" max="9726" width="12.42578125" bestFit="1" customWidth="1"/>
    <col min="9727" max="9728" width="10.42578125" bestFit="1" customWidth="1"/>
    <col min="9729" max="9729" width="10.5703125" customWidth="1"/>
    <col min="9730" max="9730" width="11.85546875" customWidth="1"/>
    <col min="9976" max="9976" width="5.85546875" customWidth="1"/>
    <col min="9977" max="9977" width="3" customWidth="1"/>
    <col min="9978" max="9978" width="14.5703125" customWidth="1"/>
    <col min="9979" max="9979" width="4.5703125" customWidth="1"/>
    <col min="9980" max="9980" width="5.5703125" customWidth="1"/>
    <col min="9981" max="9981" width="34.42578125" bestFit="1" customWidth="1"/>
    <col min="9982" max="9982" width="12.42578125" bestFit="1" customWidth="1"/>
    <col min="9983" max="9984" width="10.42578125" bestFit="1" customWidth="1"/>
    <col min="9985" max="9985" width="10.5703125" customWidth="1"/>
    <col min="9986" max="9986" width="11.85546875" customWidth="1"/>
    <col min="10232" max="10232" width="5.85546875" customWidth="1"/>
    <col min="10233" max="10233" width="3" customWidth="1"/>
    <col min="10234" max="10234" width="14.5703125" customWidth="1"/>
    <col min="10235" max="10235" width="4.5703125" customWidth="1"/>
    <col min="10236" max="10236" width="5.5703125" customWidth="1"/>
    <col min="10237" max="10237" width="34.42578125" bestFit="1" customWidth="1"/>
    <col min="10238" max="10238" width="12.42578125" bestFit="1" customWidth="1"/>
    <col min="10239" max="10240" width="10.42578125" bestFit="1" customWidth="1"/>
    <col min="10241" max="10241" width="10.5703125" customWidth="1"/>
    <col min="10242" max="10242" width="11.85546875" customWidth="1"/>
    <col min="10488" max="10488" width="5.85546875" customWidth="1"/>
    <col min="10489" max="10489" width="3" customWidth="1"/>
    <col min="10490" max="10490" width="14.5703125" customWidth="1"/>
    <col min="10491" max="10491" width="4.5703125" customWidth="1"/>
    <col min="10492" max="10492" width="5.5703125" customWidth="1"/>
    <col min="10493" max="10493" width="34.42578125" bestFit="1" customWidth="1"/>
    <col min="10494" max="10494" width="12.42578125" bestFit="1" customWidth="1"/>
    <col min="10495" max="10496" width="10.42578125" bestFit="1" customWidth="1"/>
    <col min="10497" max="10497" width="10.5703125" customWidth="1"/>
    <col min="10498" max="10498" width="11.85546875" customWidth="1"/>
    <col min="10744" max="10744" width="5.85546875" customWidth="1"/>
    <col min="10745" max="10745" width="3" customWidth="1"/>
    <col min="10746" max="10746" width="14.5703125" customWidth="1"/>
    <col min="10747" max="10747" width="4.5703125" customWidth="1"/>
    <col min="10748" max="10748" width="5.5703125" customWidth="1"/>
    <col min="10749" max="10749" width="34.42578125" bestFit="1" customWidth="1"/>
    <col min="10750" max="10750" width="12.42578125" bestFit="1" customWidth="1"/>
    <col min="10751" max="10752" width="10.42578125" bestFit="1" customWidth="1"/>
    <col min="10753" max="10753" width="10.5703125" customWidth="1"/>
    <col min="10754" max="10754" width="11.85546875" customWidth="1"/>
    <col min="11000" max="11000" width="5.85546875" customWidth="1"/>
    <col min="11001" max="11001" width="3" customWidth="1"/>
    <col min="11002" max="11002" width="14.5703125" customWidth="1"/>
    <col min="11003" max="11003" width="4.5703125" customWidth="1"/>
    <col min="11004" max="11004" width="5.5703125" customWidth="1"/>
    <col min="11005" max="11005" width="34.42578125" bestFit="1" customWidth="1"/>
    <col min="11006" max="11006" width="12.42578125" bestFit="1" customWidth="1"/>
    <col min="11007" max="11008" width="10.42578125" bestFit="1" customWidth="1"/>
    <col min="11009" max="11009" width="10.5703125" customWidth="1"/>
    <col min="11010" max="11010" width="11.85546875" customWidth="1"/>
    <col min="11256" max="11256" width="5.85546875" customWidth="1"/>
    <col min="11257" max="11257" width="3" customWidth="1"/>
    <col min="11258" max="11258" width="14.5703125" customWidth="1"/>
    <col min="11259" max="11259" width="4.5703125" customWidth="1"/>
    <col min="11260" max="11260" width="5.5703125" customWidth="1"/>
    <col min="11261" max="11261" width="34.42578125" bestFit="1" customWidth="1"/>
    <col min="11262" max="11262" width="12.42578125" bestFit="1" customWidth="1"/>
    <col min="11263" max="11264" width="10.42578125" bestFit="1" customWidth="1"/>
    <col min="11265" max="11265" width="10.5703125" customWidth="1"/>
    <col min="11266" max="11266" width="11.85546875" customWidth="1"/>
    <col min="11512" max="11512" width="5.85546875" customWidth="1"/>
    <col min="11513" max="11513" width="3" customWidth="1"/>
    <col min="11514" max="11514" width="14.5703125" customWidth="1"/>
    <col min="11515" max="11515" width="4.5703125" customWidth="1"/>
    <col min="11516" max="11516" width="5.5703125" customWidth="1"/>
    <col min="11517" max="11517" width="34.42578125" bestFit="1" customWidth="1"/>
    <col min="11518" max="11518" width="12.42578125" bestFit="1" customWidth="1"/>
    <col min="11519" max="11520" width="10.42578125" bestFit="1" customWidth="1"/>
    <col min="11521" max="11521" width="10.5703125" customWidth="1"/>
    <col min="11522" max="11522" width="11.85546875" customWidth="1"/>
    <col min="11768" max="11768" width="5.85546875" customWidth="1"/>
    <col min="11769" max="11769" width="3" customWidth="1"/>
    <col min="11770" max="11770" width="14.5703125" customWidth="1"/>
    <col min="11771" max="11771" width="4.5703125" customWidth="1"/>
    <col min="11772" max="11772" width="5.5703125" customWidth="1"/>
    <col min="11773" max="11773" width="34.42578125" bestFit="1" customWidth="1"/>
    <col min="11774" max="11774" width="12.42578125" bestFit="1" customWidth="1"/>
    <col min="11775" max="11776" width="10.42578125" bestFit="1" customWidth="1"/>
    <col min="11777" max="11777" width="10.5703125" customWidth="1"/>
    <col min="11778" max="11778" width="11.85546875" customWidth="1"/>
    <col min="12024" max="12024" width="5.85546875" customWidth="1"/>
    <col min="12025" max="12025" width="3" customWidth="1"/>
    <col min="12026" max="12026" width="14.5703125" customWidth="1"/>
    <col min="12027" max="12027" width="4.5703125" customWidth="1"/>
    <col min="12028" max="12028" width="5.5703125" customWidth="1"/>
    <col min="12029" max="12029" width="34.42578125" bestFit="1" customWidth="1"/>
    <col min="12030" max="12030" width="12.42578125" bestFit="1" customWidth="1"/>
    <col min="12031" max="12032" width="10.42578125" bestFit="1" customWidth="1"/>
    <col min="12033" max="12033" width="10.5703125" customWidth="1"/>
    <col min="12034" max="12034" width="11.85546875" customWidth="1"/>
    <col min="12280" max="12280" width="5.85546875" customWidth="1"/>
    <col min="12281" max="12281" width="3" customWidth="1"/>
    <col min="12282" max="12282" width="14.5703125" customWidth="1"/>
    <col min="12283" max="12283" width="4.5703125" customWidth="1"/>
    <col min="12284" max="12284" width="5.5703125" customWidth="1"/>
    <col min="12285" max="12285" width="34.42578125" bestFit="1" customWidth="1"/>
    <col min="12286" max="12286" width="12.42578125" bestFit="1" customWidth="1"/>
    <col min="12287" max="12288" width="10.42578125" bestFit="1" customWidth="1"/>
    <col min="12289" max="12289" width="10.5703125" customWidth="1"/>
    <col min="12290" max="12290" width="11.85546875" customWidth="1"/>
    <col min="12536" max="12536" width="5.85546875" customWidth="1"/>
    <col min="12537" max="12537" width="3" customWidth="1"/>
    <col min="12538" max="12538" width="14.5703125" customWidth="1"/>
    <col min="12539" max="12539" width="4.5703125" customWidth="1"/>
    <col min="12540" max="12540" width="5.5703125" customWidth="1"/>
    <col min="12541" max="12541" width="34.42578125" bestFit="1" customWidth="1"/>
    <col min="12542" max="12542" width="12.42578125" bestFit="1" customWidth="1"/>
    <col min="12543" max="12544" width="10.42578125" bestFit="1" customWidth="1"/>
    <col min="12545" max="12545" width="10.5703125" customWidth="1"/>
    <col min="12546" max="12546" width="11.85546875" customWidth="1"/>
    <col min="12792" max="12792" width="5.85546875" customWidth="1"/>
    <col min="12793" max="12793" width="3" customWidth="1"/>
    <col min="12794" max="12794" width="14.5703125" customWidth="1"/>
    <col min="12795" max="12795" width="4.5703125" customWidth="1"/>
    <col min="12796" max="12796" width="5.5703125" customWidth="1"/>
    <col min="12797" max="12797" width="34.42578125" bestFit="1" customWidth="1"/>
    <col min="12798" max="12798" width="12.42578125" bestFit="1" customWidth="1"/>
    <col min="12799" max="12800" width="10.42578125" bestFit="1" customWidth="1"/>
    <col min="12801" max="12801" width="10.5703125" customWidth="1"/>
    <col min="12802" max="12802" width="11.85546875" customWidth="1"/>
    <col min="13048" max="13048" width="5.85546875" customWidth="1"/>
    <col min="13049" max="13049" width="3" customWidth="1"/>
    <col min="13050" max="13050" width="14.5703125" customWidth="1"/>
    <col min="13051" max="13051" width="4.5703125" customWidth="1"/>
    <col min="13052" max="13052" width="5.5703125" customWidth="1"/>
    <col min="13053" max="13053" width="34.42578125" bestFit="1" customWidth="1"/>
    <col min="13054" max="13054" width="12.42578125" bestFit="1" customWidth="1"/>
    <col min="13055" max="13056" width="10.42578125" bestFit="1" customWidth="1"/>
    <col min="13057" max="13057" width="10.5703125" customWidth="1"/>
    <col min="13058" max="13058" width="11.85546875" customWidth="1"/>
    <col min="13304" max="13304" width="5.85546875" customWidth="1"/>
    <col min="13305" max="13305" width="3" customWidth="1"/>
    <col min="13306" max="13306" width="14.5703125" customWidth="1"/>
    <col min="13307" max="13307" width="4.5703125" customWidth="1"/>
    <col min="13308" max="13308" width="5.5703125" customWidth="1"/>
    <col min="13309" max="13309" width="34.42578125" bestFit="1" customWidth="1"/>
    <col min="13310" max="13310" width="12.42578125" bestFit="1" customWidth="1"/>
    <col min="13311" max="13312" width="10.42578125" bestFit="1" customWidth="1"/>
    <col min="13313" max="13313" width="10.5703125" customWidth="1"/>
    <col min="13314" max="13314" width="11.85546875" customWidth="1"/>
    <col min="13560" max="13560" width="5.85546875" customWidth="1"/>
    <col min="13561" max="13561" width="3" customWidth="1"/>
    <col min="13562" max="13562" width="14.5703125" customWidth="1"/>
    <col min="13563" max="13563" width="4.5703125" customWidth="1"/>
    <col min="13564" max="13564" width="5.5703125" customWidth="1"/>
    <col min="13565" max="13565" width="34.42578125" bestFit="1" customWidth="1"/>
    <col min="13566" max="13566" width="12.42578125" bestFit="1" customWidth="1"/>
    <col min="13567" max="13568" width="10.42578125" bestFit="1" customWidth="1"/>
    <col min="13569" max="13569" width="10.5703125" customWidth="1"/>
    <col min="13570" max="13570" width="11.85546875" customWidth="1"/>
    <col min="13816" max="13816" width="5.85546875" customWidth="1"/>
    <col min="13817" max="13817" width="3" customWidth="1"/>
    <col min="13818" max="13818" width="14.5703125" customWidth="1"/>
    <col min="13819" max="13819" width="4.5703125" customWidth="1"/>
    <col min="13820" max="13820" width="5.5703125" customWidth="1"/>
    <col min="13821" max="13821" width="34.42578125" bestFit="1" customWidth="1"/>
    <col min="13822" max="13822" width="12.42578125" bestFit="1" customWidth="1"/>
    <col min="13823" max="13824" width="10.42578125" bestFit="1" customWidth="1"/>
    <col min="13825" max="13825" width="10.5703125" customWidth="1"/>
    <col min="13826" max="13826" width="11.85546875" customWidth="1"/>
    <col min="14072" max="14072" width="5.85546875" customWidth="1"/>
    <col min="14073" max="14073" width="3" customWidth="1"/>
    <col min="14074" max="14074" width="14.5703125" customWidth="1"/>
    <col min="14075" max="14075" width="4.5703125" customWidth="1"/>
    <col min="14076" max="14076" width="5.5703125" customWidth="1"/>
    <col min="14077" max="14077" width="34.42578125" bestFit="1" customWidth="1"/>
    <col min="14078" max="14078" width="12.42578125" bestFit="1" customWidth="1"/>
    <col min="14079" max="14080" width="10.42578125" bestFit="1" customWidth="1"/>
    <col min="14081" max="14081" width="10.5703125" customWidth="1"/>
    <col min="14082" max="14082" width="11.85546875" customWidth="1"/>
    <col min="14328" max="14328" width="5.85546875" customWidth="1"/>
    <col min="14329" max="14329" width="3" customWidth="1"/>
    <col min="14330" max="14330" width="14.5703125" customWidth="1"/>
    <col min="14331" max="14331" width="4.5703125" customWidth="1"/>
    <col min="14332" max="14332" width="5.5703125" customWidth="1"/>
    <col min="14333" max="14333" width="34.42578125" bestFit="1" customWidth="1"/>
    <col min="14334" max="14334" width="12.42578125" bestFit="1" customWidth="1"/>
    <col min="14335" max="14336" width="10.42578125" bestFit="1" customWidth="1"/>
    <col min="14337" max="14337" width="10.5703125" customWidth="1"/>
    <col min="14338" max="14338" width="11.85546875" customWidth="1"/>
    <col min="14584" max="14584" width="5.85546875" customWidth="1"/>
    <col min="14585" max="14585" width="3" customWidth="1"/>
    <col min="14586" max="14586" width="14.5703125" customWidth="1"/>
    <col min="14587" max="14587" width="4.5703125" customWidth="1"/>
    <col min="14588" max="14588" width="5.5703125" customWidth="1"/>
    <col min="14589" max="14589" width="34.42578125" bestFit="1" customWidth="1"/>
    <col min="14590" max="14590" width="12.42578125" bestFit="1" customWidth="1"/>
    <col min="14591" max="14592" width="10.42578125" bestFit="1" customWidth="1"/>
    <col min="14593" max="14593" width="10.5703125" customWidth="1"/>
    <col min="14594" max="14594" width="11.85546875" customWidth="1"/>
    <col min="14840" max="14840" width="5.85546875" customWidth="1"/>
    <col min="14841" max="14841" width="3" customWidth="1"/>
    <col min="14842" max="14842" width="14.5703125" customWidth="1"/>
    <col min="14843" max="14843" width="4.5703125" customWidth="1"/>
    <col min="14844" max="14844" width="5.5703125" customWidth="1"/>
    <col min="14845" max="14845" width="34.42578125" bestFit="1" customWidth="1"/>
    <col min="14846" max="14846" width="12.42578125" bestFit="1" customWidth="1"/>
    <col min="14847" max="14848" width="10.42578125" bestFit="1" customWidth="1"/>
    <col min="14849" max="14849" width="10.5703125" customWidth="1"/>
    <col min="14850" max="14850" width="11.85546875" customWidth="1"/>
    <col min="15096" max="15096" width="5.85546875" customWidth="1"/>
    <col min="15097" max="15097" width="3" customWidth="1"/>
    <col min="15098" max="15098" width="14.5703125" customWidth="1"/>
    <col min="15099" max="15099" width="4.5703125" customWidth="1"/>
    <col min="15100" max="15100" width="5.5703125" customWidth="1"/>
    <col min="15101" max="15101" width="34.42578125" bestFit="1" customWidth="1"/>
    <col min="15102" max="15102" width="12.42578125" bestFit="1" customWidth="1"/>
    <col min="15103" max="15104" width="10.42578125" bestFit="1" customWidth="1"/>
    <col min="15105" max="15105" width="10.5703125" customWidth="1"/>
    <col min="15106" max="15106" width="11.85546875" customWidth="1"/>
    <col min="15352" max="15352" width="5.85546875" customWidth="1"/>
    <col min="15353" max="15353" width="3" customWidth="1"/>
    <col min="15354" max="15354" width="14.5703125" customWidth="1"/>
    <col min="15355" max="15355" width="4.5703125" customWidth="1"/>
    <col min="15356" max="15356" width="5.5703125" customWidth="1"/>
    <col min="15357" max="15357" width="34.42578125" bestFit="1" customWidth="1"/>
    <col min="15358" max="15358" width="12.42578125" bestFit="1" customWidth="1"/>
    <col min="15359" max="15360" width="10.42578125" bestFit="1" customWidth="1"/>
    <col min="15361" max="15361" width="10.5703125" customWidth="1"/>
    <col min="15362" max="15362" width="11.85546875" customWidth="1"/>
    <col min="15608" max="15608" width="5.85546875" customWidth="1"/>
    <col min="15609" max="15609" width="3" customWidth="1"/>
    <col min="15610" max="15610" width="14.5703125" customWidth="1"/>
    <col min="15611" max="15611" width="4.5703125" customWidth="1"/>
    <col min="15612" max="15612" width="5.5703125" customWidth="1"/>
    <col min="15613" max="15613" width="34.42578125" bestFit="1" customWidth="1"/>
    <col min="15614" max="15614" width="12.42578125" bestFit="1" customWidth="1"/>
    <col min="15615" max="15616" width="10.42578125" bestFit="1" customWidth="1"/>
    <col min="15617" max="15617" width="10.5703125" customWidth="1"/>
    <col min="15618" max="15618" width="11.85546875" customWidth="1"/>
    <col min="15864" max="15864" width="5.85546875" customWidth="1"/>
    <col min="15865" max="15865" width="3" customWidth="1"/>
    <col min="15866" max="15866" width="14.5703125" customWidth="1"/>
    <col min="15867" max="15867" width="4.5703125" customWidth="1"/>
    <col min="15868" max="15868" width="5.5703125" customWidth="1"/>
    <col min="15869" max="15869" width="34.42578125" bestFit="1" customWidth="1"/>
    <col min="15870" max="15870" width="12.42578125" bestFit="1" customWidth="1"/>
    <col min="15871" max="15872" width="10.42578125" bestFit="1" customWidth="1"/>
    <col min="15873" max="15873" width="10.5703125" customWidth="1"/>
    <col min="15874" max="15874" width="11.85546875" customWidth="1"/>
    <col min="16120" max="16120" width="5.85546875" customWidth="1"/>
    <col min="16121" max="16121" width="3" customWidth="1"/>
    <col min="16122" max="16122" width="14.5703125" customWidth="1"/>
    <col min="16123" max="16123" width="4.5703125" customWidth="1"/>
    <col min="16124" max="16124" width="5.5703125" customWidth="1"/>
    <col min="16125" max="16125" width="34.42578125" bestFit="1" customWidth="1"/>
    <col min="16126" max="16126" width="12.42578125" bestFit="1" customWidth="1"/>
    <col min="16127" max="16128" width="10.42578125" bestFit="1" customWidth="1"/>
    <col min="16129" max="16129" width="10.5703125" customWidth="1"/>
    <col min="16130" max="16130" width="11.85546875" customWidth="1"/>
  </cols>
  <sheetData>
    <row r="1" spans="1:13" ht="18.75" x14ac:dyDescent="0.3">
      <c r="A1" s="11" t="s">
        <v>33</v>
      </c>
      <c r="F1" s="2"/>
      <c r="I1" s="2">
        <v>0.17</v>
      </c>
    </row>
    <row r="2" spans="1:13" x14ac:dyDescent="0.25">
      <c r="F2" s="2"/>
      <c r="I2" s="2"/>
    </row>
    <row r="3" spans="1:13" s="4" customFormat="1" ht="30" x14ac:dyDescent="0.25">
      <c r="F3" s="21" t="s">
        <v>0</v>
      </c>
      <c r="G3" s="25" t="s">
        <v>32</v>
      </c>
      <c r="H3" s="25" t="s">
        <v>31</v>
      </c>
      <c r="I3" s="16" t="s">
        <v>7</v>
      </c>
      <c r="J3" s="12" t="s">
        <v>8</v>
      </c>
      <c r="K3" s="12" t="s">
        <v>12</v>
      </c>
      <c r="L3" s="12" t="s">
        <v>14</v>
      </c>
      <c r="M3" s="10" t="s">
        <v>9</v>
      </c>
    </row>
    <row r="4" spans="1:13" x14ac:dyDescent="0.25">
      <c r="A4" s="3"/>
      <c r="B4" s="3"/>
      <c r="C4" s="3"/>
      <c r="D4" s="3"/>
      <c r="E4" s="3"/>
      <c r="F4" s="2"/>
      <c r="G4" s="19"/>
      <c r="H4" s="19"/>
      <c r="I4" s="2"/>
    </row>
    <row r="5" spans="1:13" x14ac:dyDescent="0.25">
      <c r="A5" s="1" t="str">
        <f>"Rörelsens intäkter mm"</f>
        <v>Rörelsens intäkter mm</v>
      </c>
      <c r="F5" s="2"/>
      <c r="G5" s="19"/>
      <c r="H5" s="19"/>
      <c r="I5" s="2"/>
    </row>
    <row r="6" spans="1:13" x14ac:dyDescent="0.25">
      <c r="B6" s="1" t="str">
        <f>"Nettoomsättning"</f>
        <v>Nettoomsättning</v>
      </c>
      <c r="F6" s="2"/>
      <c r="G6" s="19"/>
      <c r="H6" s="19"/>
      <c r="I6" s="2"/>
    </row>
    <row r="7" spans="1:13" x14ac:dyDescent="0.25">
      <c r="C7" s="1" t="str">
        <f>"3110"</f>
        <v>3110</v>
      </c>
      <c r="E7" s="1" t="str">
        <f>"Medlemsavgifter"</f>
        <v>Medlemsavgifter</v>
      </c>
      <c r="F7" s="2">
        <v>90000</v>
      </c>
      <c r="G7" s="19"/>
      <c r="H7" s="19"/>
      <c r="I7" s="2"/>
      <c r="M7" s="2">
        <f t="shared" ref="M7:M13" si="0">SUM(F7:L7)</f>
        <v>90000</v>
      </c>
    </row>
    <row r="8" spans="1:13" x14ac:dyDescent="0.25">
      <c r="C8" s="1" t="str">
        <f>"3120"</f>
        <v>3120</v>
      </c>
      <c r="E8" s="1" t="str">
        <f>"Aktivitetsavgifter"</f>
        <v>Aktivitetsavgifter</v>
      </c>
      <c r="F8" s="2"/>
      <c r="G8">
        <f>35*850+15*850</f>
        <v>42500</v>
      </c>
      <c r="H8" s="2">
        <v>70000</v>
      </c>
      <c r="I8" s="2">
        <v>117000</v>
      </c>
      <c r="J8" s="2">
        <v>5000</v>
      </c>
      <c r="K8" s="2">
        <v>40000</v>
      </c>
      <c r="M8" s="2">
        <f t="shared" si="0"/>
        <v>274500</v>
      </c>
    </row>
    <row r="9" spans="1:13" x14ac:dyDescent="0.25">
      <c r="C9" s="1" t="str">
        <f>"3130"</f>
        <v>3130</v>
      </c>
      <c r="E9" s="1" t="str">
        <f>"Sponsorer"</f>
        <v>Sponsorer</v>
      </c>
      <c r="F9" s="2">
        <v>50000</v>
      </c>
      <c r="G9" s="2">
        <v>100000</v>
      </c>
      <c r="H9"/>
      <c r="I9" s="2"/>
      <c r="K9" s="2">
        <v>30000</v>
      </c>
      <c r="L9" s="2">
        <v>70000</v>
      </c>
      <c r="M9" s="2">
        <f t="shared" si="0"/>
        <v>250000</v>
      </c>
    </row>
    <row r="10" spans="1:13" x14ac:dyDescent="0.25">
      <c r="C10" s="1" t="str">
        <f>"3320"</f>
        <v>3320</v>
      </c>
      <c r="E10" s="1" t="str">
        <f>"BingoLotto"</f>
        <v>BingoLotto</v>
      </c>
      <c r="F10" s="2">
        <v>60000</v>
      </c>
      <c r="G10">
        <v>0</v>
      </c>
      <c r="H10">
        <v>0</v>
      </c>
      <c r="I10" s="2"/>
      <c r="M10" s="2">
        <f t="shared" si="0"/>
        <v>60000</v>
      </c>
    </row>
    <row r="11" spans="1:13" x14ac:dyDescent="0.25">
      <c r="C11" s="1" t="str">
        <f>"3330"</f>
        <v>3330</v>
      </c>
      <c r="E11" s="1" t="str">
        <f>"Svenska Spel Svea"</f>
        <v>Svenska Spel Svea</v>
      </c>
      <c r="F11" s="22">
        <v>7000</v>
      </c>
      <c r="G11">
        <v>0</v>
      </c>
      <c r="H11">
        <v>0</v>
      </c>
      <c r="I11" s="2"/>
      <c r="M11" s="2">
        <f t="shared" si="0"/>
        <v>7000</v>
      </c>
    </row>
    <row r="12" spans="1:13" x14ac:dyDescent="0.25">
      <c r="C12" s="1" t="s">
        <v>15</v>
      </c>
      <c r="E12" s="1" t="s">
        <v>13</v>
      </c>
      <c r="F12" s="2"/>
      <c r="G12">
        <v>0</v>
      </c>
      <c r="H12">
        <v>0</v>
      </c>
      <c r="I12" s="2"/>
      <c r="K12" s="2">
        <v>10000</v>
      </c>
      <c r="L12" s="2">
        <v>5000</v>
      </c>
      <c r="M12" s="2">
        <f t="shared" si="0"/>
        <v>15000</v>
      </c>
    </row>
    <row r="13" spans="1:13" x14ac:dyDescent="0.25">
      <c r="C13" s="1" t="str">
        <f>"3735"</f>
        <v>3735</v>
      </c>
      <c r="E13" s="1" t="str">
        <f>"Umeå Föreningsråd- Hemmavinsten"</f>
        <v>Umeå Föreningsråd- Hemmavinsten</v>
      </c>
      <c r="F13" s="23">
        <v>8500</v>
      </c>
      <c r="G13">
        <v>17000</v>
      </c>
      <c r="H13" s="2">
        <v>0</v>
      </c>
      <c r="I13" s="2"/>
      <c r="M13" s="2">
        <f t="shared" si="0"/>
        <v>25500</v>
      </c>
    </row>
    <row r="14" spans="1:13" x14ac:dyDescent="0.25">
      <c r="A14" s="3"/>
      <c r="B14" s="3"/>
      <c r="C14" s="3"/>
      <c r="D14" s="3"/>
      <c r="E14" s="3"/>
      <c r="F14" s="2"/>
      <c r="G14" s="20"/>
      <c r="H14" s="20"/>
      <c r="I14" s="17"/>
      <c r="J14" s="6"/>
      <c r="K14" s="6"/>
      <c r="L14" s="6"/>
      <c r="M14" s="7"/>
    </row>
    <row r="15" spans="1:13" s="4" customFormat="1" x14ac:dyDescent="0.25">
      <c r="C15" s="8" t="str">
        <f>"S:a Nettoomsättning"</f>
        <v>S:a Nettoomsättning</v>
      </c>
      <c r="F15" s="9">
        <f t="shared" ref="F15:M15" si="1">SUM(F7:F13)</f>
        <v>215500</v>
      </c>
      <c r="G15" s="15">
        <f t="shared" si="1"/>
        <v>159500</v>
      </c>
      <c r="H15" s="15">
        <f t="shared" si="1"/>
        <v>70000</v>
      </c>
      <c r="I15" s="18">
        <f t="shared" si="1"/>
        <v>117000</v>
      </c>
      <c r="J15" s="9">
        <f t="shared" si="1"/>
        <v>5000</v>
      </c>
      <c r="K15" s="9">
        <f t="shared" si="1"/>
        <v>80000</v>
      </c>
      <c r="L15" s="9">
        <f t="shared" si="1"/>
        <v>75000</v>
      </c>
      <c r="M15" s="9">
        <f t="shared" si="1"/>
        <v>722000</v>
      </c>
    </row>
    <row r="16" spans="1:13" x14ac:dyDescent="0.25">
      <c r="F16" s="2"/>
      <c r="G16" s="19"/>
      <c r="H16" s="19"/>
      <c r="I16" s="2"/>
    </row>
    <row r="17" spans="1:13" x14ac:dyDescent="0.25">
      <c r="B17" s="1" t="str">
        <f>"Övriga rörelseintäkter"</f>
        <v>Övriga rörelseintäkter</v>
      </c>
      <c r="F17" s="2"/>
      <c r="G17" s="19"/>
      <c r="H17" s="19"/>
      <c r="I17" s="2"/>
    </row>
    <row r="18" spans="1:13" x14ac:dyDescent="0.25">
      <c r="C18" s="1" t="str">
        <f>"3985"</f>
        <v>3985</v>
      </c>
      <c r="E18" s="1" t="str">
        <f>"Statligt LOK-stöd"</f>
        <v>Statligt LOK-stöd</v>
      </c>
      <c r="F18" s="2"/>
      <c r="G18">
        <v>10000</v>
      </c>
      <c r="H18">
        <v>49000</v>
      </c>
      <c r="I18" s="2">
        <v>79560</v>
      </c>
      <c r="K18" s="2">
        <v>7000</v>
      </c>
      <c r="M18" s="2">
        <f t="shared" ref="M18:M23" si="2">SUM(F18:L18)</f>
        <v>145560</v>
      </c>
    </row>
    <row r="19" spans="1:13" x14ac:dyDescent="0.25">
      <c r="C19" s="1" t="str">
        <f>"3987"</f>
        <v>3987</v>
      </c>
      <c r="E19" s="1" t="str">
        <f>"Kommunalt LOK-stöd"</f>
        <v>Kommunalt LOK-stöd</v>
      </c>
      <c r="F19" s="2"/>
      <c r="G19">
        <v>15000</v>
      </c>
      <c r="H19">
        <v>60000</v>
      </c>
      <c r="I19" s="2">
        <v>79560</v>
      </c>
      <c r="J19" s="2">
        <v>5000</v>
      </c>
      <c r="K19" s="2">
        <v>4000</v>
      </c>
      <c r="M19" s="2">
        <f t="shared" si="2"/>
        <v>163560</v>
      </c>
    </row>
    <row r="20" spans="1:13" x14ac:dyDescent="0.25">
      <c r="C20" s="1" t="str">
        <f>"3988"</f>
        <v>3988</v>
      </c>
      <c r="E20" s="1" t="str">
        <f>"Ersättning hallvärd/tillsyn Olasjö"</f>
        <v>Ersättning hallvärd/tillsyn Olasjö</v>
      </c>
      <c r="F20" s="2">
        <v>40000</v>
      </c>
      <c r="G20">
        <v>0</v>
      </c>
      <c r="H20">
        <v>0</v>
      </c>
      <c r="I20" s="24"/>
      <c r="M20" s="2">
        <f t="shared" si="2"/>
        <v>40000</v>
      </c>
    </row>
    <row r="21" spans="1:13" x14ac:dyDescent="0.25">
      <c r="C21" s="1" t="str">
        <f>"3989"</f>
        <v>3989</v>
      </c>
      <c r="E21" s="1" t="s">
        <v>25</v>
      </c>
      <c r="F21" s="2">
        <v>75000</v>
      </c>
      <c r="G21">
        <v>0</v>
      </c>
      <c r="H21">
        <v>0</v>
      </c>
      <c r="I21" s="2"/>
      <c r="J21" s="2">
        <v>20000</v>
      </c>
      <c r="L21" s="2">
        <v>2500</v>
      </c>
      <c r="M21" s="2">
        <f t="shared" si="2"/>
        <v>97500</v>
      </c>
    </row>
    <row r="22" spans="1:13" x14ac:dyDescent="0.25">
      <c r="C22" s="1" t="s">
        <v>4</v>
      </c>
      <c r="E22" s="1" t="s">
        <v>5</v>
      </c>
      <c r="F22" s="2"/>
      <c r="G22" s="2">
        <v>48000</v>
      </c>
      <c r="I22" s="2"/>
      <c r="M22" s="2">
        <f t="shared" si="2"/>
        <v>48000</v>
      </c>
    </row>
    <row r="23" spans="1:13" x14ac:dyDescent="0.25">
      <c r="C23" s="1" t="str">
        <f>"3999"</f>
        <v>3999</v>
      </c>
      <c r="E23" s="1" t="str">
        <f>"Övriga intäkter"</f>
        <v>Övriga intäkter</v>
      </c>
      <c r="F23" s="23">
        <v>25000</v>
      </c>
      <c r="G23" s="19"/>
      <c r="H23" s="19"/>
      <c r="I23" s="2"/>
      <c r="K23" s="2">
        <v>6000</v>
      </c>
      <c r="M23" s="2">
        <f t="shared" si="2"/>
        <v>31000</v>
      </c>
    </row>
    <row r="24" spans="1:13" x14ac:dyDescent="0.25">
      <c r="A24" s="3"/>
      <c r="B24" s="3"/>
      <c r="C24" s="3"/>
      <c r="D24" s="3"/>
      <c r="E24" s="3"/>
      <c r="F24" s="2"/>
      <c r="G24" s="20"/>
      <c r="H24" s="20"/>
      <c r="I24" s="17"/>
      <c r="J24" s="6"/>
      <c r="K24" s="6"/>
      <c r="L24" s="6"/>
      <c r="M24" s="7"/>
    </row>
    <row r="25" spans="1:13" s="4" customFormat="1" x14ac:dyDescent="0.25">
      <c r="C25" s="8" t="s">
        <v>1</v>
      </c>
      <c r="F25" s="9">
        <f t="shared" ref="F25" si="3">SUM(F18:F23)</f>
        <v>140000</v>
      </c>
      <c r="G25" s="15">
        <f t="shared" ref="G25:M25" si="4">SUM(G18:G23)</f>
        <v>73000</v>
      </c>
      <c r="H25" s="15">
        <f t="shared" si="4"/>
        <v>109000</v>
      </c>
      <c r="I25" s="18">
        <f t="shared" si="4"/>
        <v>159120</v>
      </c>
      <c r="J25" s="9">
        <f t="shared" si="4"/>
        <v>25000</v>
      </c>
      <c r="K25" s="9">
        <f t="shared" si="4"/>
        <v>17000</v>
      </c>
      <c r="L25" s="9">
        <f t="shared" si="4"/>
        <v>2500</v>
      </c>
      <c r="M25" s="9">
        <f t="shared" si="4"/>
        <v>525620</v>
      </c>
    </row>
    <row r="26" spans="1:13" x14ac:dyDescent="0.25">
      <c r="F26" s="23"/>
      <c r="G26" s="19"/>
      <c r="H26" s="19"/>
      <c r="I26" s="2"/>
    </row>
    <row r="27" spans="1:13" x14ac:dyDescent="0.25">
      <c r="A27" s="3"/>
      <c r="B27" s="3"/>
      <c r="C27" s="3"/>
      <c r="D27" s="3"/>
      <c r="E27" s="3"/>
      <c r="F27" s="2"/>
      <c r="G27" s="20"/>
      <c r="H27" s="20"/>
      <c r="I27" s="17"/>
      <c r="J27" s="6"/>
      <c r="K27" s="6"/>
      <c r="L27" s="6"/>
      <c r="M27" s="7"/>
    </row>
    <row r="28" spans="1:13" s="4" customFormat="1" x14ac:dyDescent="0.25">
      <c r="B28" s="8" t="str">
        <f>"S:a Rörelseintäkter mm"</f>
        <v>S:a Rörelseintäkter mm</v>
      </c>
      <c r="F28" s="9">
        <f t="shared" ref="F28" si="5">F25+F15</f>
        <v>355500</v>
      </c>
      <c r="G28" s="15">
        <f t="shared" ref="G28:M28" si="6">G25+G15</f>
        <v>232500</v>
      </c>
      <c r="H28" s="15">
        <f t="shared" si="6"/>
        <v>179000</v>
      </c>
      <c r="I28" s="18">
        <f t="shared" si="6"/>
        <v>276120</v>
      </c>
      <c r="J28" s="9">
        <f t="shared" si="6"/>
        <v>30000</v>
      </c>
      <c r="K28" s="9">
        <f t="shared" si="6"/>
        <v>97000</v>
      </c>
      <c r="L28" s="9">
        <f t="shared" si="6"/>
        <v>77500</v>
      </c>
      <c r="M28" s="9">
        <f t="shared" si="6"/>
        <v>1247620</v>
      </c>
    </row>
    <row r="29" spans="1:13" x14ac:dyDescent="0.25">
      <c r="F29" s="2"/>
      <c r="G29" s="19"/>
      <c r="H29" s="19"/>
      <c r="I29" s="2"/>
    </row>
    <row r="30" spans="1:13" x14ac:dyDescent="0.25">
      <c r="A30" s="1" t="str">
        <f>"Rörelsens kostnader"</f>
        <v>Rörelsens kostnader</v>
      </c>
      <c r="F30" s="2"/>
      <c r="G30" s="19"/>
      <c r="H30" s="19"/>
      <c r="I30" s="2"/>
    </row>
    <row r="31" spans="1:13" x14ac:dyDescent="0.25">
      <c r="B31" s="1" t="str">
        <f>"Råvaror och förnödenheter mm"</f>
        <v>Råvaror och förnödenheter mm</v>
      </c>
      <c r="F31" s="2"/>
      <c r="G31" s="19"/>
      <c r="H31" s="19"/>
      <c r="I31" s="2"/>
    </row>
    <row r="32" spans="1:13" x14ac:dyDescent="0.25">
      <c r="C32" s="1" t="str">
        <f>"4010"</f>
        <v>4010</v>
      </c>
      <c r="E32" s="1" t="str">
        <f>"Inköp matchkläder"</f>
        <v>Inköp matchkläder</v>
      </c>
      <c r="F32" s="2"/>
      <c r="G32" s="2">
        <v>10000</v>
      </c>
      <c r="H32"/>
      <c r="I32" s="2">
        <v>17550</v>
      </c>
      <c r="M32" s="2">
        <f>SUM(F32:L32)</f>
        <v>27550</v>
      </c>
    </row>
    <row r="33" spans="1:13" x14ac:dyDescent="0.25">
      <c r="C33" s="1" t="str">
        <f>"4015"</f>
        <v>4015</v>
      </c>
      <c r="E33" s="1" t="str">
        <f>"Övriga kläder"</f>
        <v>Övriga kläder</v>
      </c>
      <c r="F33" s="2">
        <v>3000</v>
      </c>
      <c r="G33">
        <v>55000</v>
      </c>
      <c r="H33">
        <v>2000</v>
      </c>
      <c r="I33" s="2"/>
      <c r="K33" s="2">
        <v>15000</v>
      </c>
      <c r="M33" s="2">
        <f>SUM(F33:L33)</f>
        <v>75000</v>
      </c>
    </row>
    <row r="34" spans="1:13" x14ac:dyDescent="0.25">
      <c r="C34" s="1" t="str">
        <f>"4120"</f>
        <v>4120</v>
      </c>
      <c r="E34" s="1" t="str">
        <f>"Licenser och medlemsavgifter"</f>
        <v>Licenser och medlemsavgifter</v>
      </c>
      <c r="F34" s="2">
        <v>4000</v>
      </c>
      <c r="G34">
        <f>2000+10*400+3000</f>
        <v>9000</v>
      </c>
      <c r="H34">
        <v>4000</v>
      </c>
      <c r="I34" s="2">
        <v>35100</v>
      </c>
      <c r="K34" s="2">
        <v>10000</v>
      </c>
      <c r="M34" s="2">
        <f>SUM(F34:L34)</f>
        <v>62100</v>
      </c>
    </row>
    <row r="35" spans="1:13" x14ac:dyDescent="0.25">
      <c r="C35" s="1" t="str">
        <f>"4130"</f>
        <v>4130</v>
      </c>
      <c r="E35" s="1" t="str">
        <f>"Anmälningsavgifter seriespel"</f>
        <v>Anmälningsavgifter seriespel</v>
      </c>
      <c r="F35" s="2"/>
      <c r="G35">
        <v>10000</v>
      </c>
      <c r="H35">
        <v>20000</v>
      </c>
      <c r="I35" s="2">
        <v>46800</v>
      </c>
      <c r="M35" s="2">
        <f>SUM(F35:L35)</f>
        <v>76800</v>
      </c>
    </row>
    <row r="36" spans="1:13" x14ac:dyDescent="0.25">
      <c r="C36" s="1" t="str">
        <f>"4140"</f>
        <v>4140</v>
      </c>
      <c r="E36" s="1" t="str">
        <f>"Material (fotbollar, tape, ib-bollar)"</f>
        <v>Material (fotbollar, tape, ib-bollar)</v>
      </c>
      <c r="F36" s="23"/>
      <c r="G36" s="2">
        <v>10000</v>
      </c>
      <c r="H36" s="2">
        <v>10000</v>
      </c>
      <c r="I36" s="2">
        <v>11700</v>
      </c>
      <c r="K36" s="2">
        <v>15000</v>
      </c>
      <c r="M36" s="2">
        <f>SUM(F36:L36)</f>
        <v>46700</v>
      </c>
    </row>
    <row r="37" spans="1:13" x14ac:dyDescent="0.25">
      <c r="A37" s="3"/>
      <c r="B37" s="3"/>
      <c r="C37" s="3"/>
      <c r="D37" s="3"/>
      <c r="E37" s="3"/>
      <c r="F37" s="2"/>
      <c r="G37" s="20"/>
      <c r="H37" s="20"/>
      <c r="I37" s="17"/>
      <c r="J37" s="6"/>
      <c r="K37" s="6"/>
      <c r="L37" s="6"/>
      <c r="M37" s="7"/>
    </row>
    <row r="38" spans="1:13" s="4" customFormat="1" x14ac:dyDescent="0.25">
      <c r="C38" s="8" t="str">
        <f>"S:a Råvaror och förnödenheter mm"</f>
        <v>S:a Råvaror och förnödenheter mm</v>
      </c>
      <c r="F38" s="9">
        <f>SUM(F32:F36)</f>
        <v>7000</v>
      </c>
      <c r="G38" s="15">
        <f t="shared" ref="G38:I38" si="7">SUM(G32:G36)</f>
        <v>94000</v>
      </c>
      <c r="H38" s="15">
        <f t="shared" si="7"/>
        <v>36000</v>
      </c>
      <c r="I38" s="18">
        <f t="shared" si="7"/>
        <v>111150</v>
      </c>
      <c r="J38" s="9">
        <f t="shared" ref="J38:L38" si="8">SUM(J32:J36)</f>
        <v>0</v>
      </c>
      <c r="K38" s="9">
        <f t="shared" si="8"/>
        <v>40000</v>
      </c>
      <c r="L38" s="9">
        <f t="shared" si="8"/>
        <v>0</v>
      </c>
      <c r="M38" s="9">
        <f>SUM(M31:M36)</f>
        <v>288150</v>
      </c>
    </row>
    <row r="39" spans="1:13" x14ac:dyDescent="0.25">
      <c r="F39" s="23"/>
      <c r="G39" s="19"/>
      <c r="H39" s="19"/>
      <c r="I39" s="2"/>
    </row>
    <row r="40" spans="1:13" x14ac:dyDescent="0.25">
      <c r="A40" s="3"/>
      <c r="B40" s="3"/>
      <c r="C40" s="3"/>
      <c r="D40" s="3"/>
      <c r="E40" s="3"/>
      <c r="F40" s="2"/>
      <c r="G40" s="20"/>
      <c r="H40" s="20"/>
      <c r="I40" s="17"/>
      <c r="J40" s="6"/>
      <c r="K40" s="6"/>
      <c r="L40" s="6"/>
      <c r="M40" s="7"/>
    </row>
    <row r="41" spans="1:13" x14ac:dyDescent="0.25">
      <c r="A41" s="1" t="str">
        <f>"Bruttovinst"</f>
        <v>Bruttovinst</v>
      </c>
      <c r="F41" s="2"/>
      <c r="G41" s="19"/>
      <c r="H41" s="19"/>
      <c r="I41" s="2"/>
    </row>
    <row r="42" spans="1:13" x14ac:dyDescent="0.25">
      <c r="F42" s="2"/>
      <c r="G42" s="19"/>
      <c r="H42" s="19"/>
      <c r="I42" s="2"/>
    </row>
    <row r="43" spans="1:13" x14ac:dyDescent="0.25">
      <c r="B43" s="1" t="str">
        <f>"Övriga externa kostnader"</f>
        <v>Övriga externa kostnader</v>
      </c>
      <c r="F43" s="2"/>
      <c r="G43" s="19"/>
      <c r="H43" s="19"/>
      <c r="I43" s="2"/>
    </row>
    <row r="44" spans="1:13" x14ac:dyDescent="0.25">
      <c r="C44" s="1" t="str">
        <f>"5010"</f>
        <v>5010</v>
      </c>
      <c r="E44" s="1" t="str">
        <f>"Hyra Olasjöhallen"</f>
        <v>Hyra Olasjöhallen</v>
      </c>
      <c r="F44" s="2"/>
      <c r="G44" s="2">
        <v>8000</v>
      </c>
      <c r="H44">
        <v>12000</v>
      </c>
      <c r="I44" s="2">
        <v>93600</v>
      </c>
      <c r="M44" s="2">
        <f t="shared" ref="M44:M64" si="9">SUM(F44:L44)</f>
        <v>113600</v>
      </c>
    </row>
    <row r="45" spans="1:13" x14ac:dyDescent="0.25">
      <c r="C45" s="1" t="s">
        <v>6</v>
      </c>
      <c r="E45" s="1" t="str">
        <f>"Hyra Gräsplan"</f>
        <v>Hyra Gräsplan</v>
      </c>
      <c r="F45" s="2"/>
      <c r="G45" s="2">
        <v>40000</v>
      </c>
      <c r="H45">
        <v>25000</v>
      </c>
      <c r="I45" s="2"/>
      <c r="M45" s="2">
        <f t="shared" si="9"/>
        <v>65000</v>
      </c>
    </row>
    <row r="46" spans="1:13" x14ac:dyDescent="0.25">
      <c r="C46" s="1" t="str">
        <f>"5030"</f>
        <v>5030</v>
      </c>
      <c r="E46" s="1" t="str">
        <f>"Lokalhyra anna lokal"</f>
        <v>Lokalhyra anna lokal</v>
      </c>
      <c r="F46" s="2">
        <v>5000</v>
      </c>
      <c r="G46" s="2">
        <v>4000</v>
      </c>
      <c r="H46"/>
      <c r="I46" s="2"/>
      <c r="M46" s="2">
        <f t="shared" si="9"/>
        <v>9000</v>
      </c>
    </row>
    <row r="47" spans="1:13" x14ac:dyDescent="0.25">
      <c r="C47" s="1" t="str">
        <f>"5070"</f>
        <v>5070</v>
      </c>
      <c r="E47" s="1" t="s">
        <v>19</v>
      </c>
      <c r="F47" s="2">
        <v>5000</v>
      </c>
      <c r="G47" s="19">
        <v>4500</v>
      </c>
      <c r="H47">
        <v>4500</v>
      </c>
      <c r="I47" s="2"/>
      <c r="K47" s="2">
        <v>10000</v>
      </c>
      <c r="L47" s="2">
        <v>15000</v>
      </c>
      <c r="M47" s="2">
        <f t="shared" si="9"/>
        <v>39000</v>
      </c>
    </row>
    <row r="48" spans="1:13" x14ac:dyDescent="0.25">
      <c r="C48" s="1" t="str">
        <f>"5090"</f>
        <v>5090</v>
      </c>
      <c r="E48" s="1" t="str">
        <f>"Drivmedel"</f>
        <v>Drivmedel</v>
      </c>
      <c r="F48" s="2">
        <v>30000</v>
      </c>
      <c r="G48" s="19">
        <v>5000</v>
      </c>
      <c r="H48">
        <v>5000</v>
      </c>
      <c r="I48" s="2"/>
      <c r="K48" s="2">
        <v>10000</v>
      </c>
      <c r="L48" s="2">
        <v>5000</v>
      </c>
      <c r="M48" s="2">
        <f t="shared" si="9"/>
        <v>55000</v>
      </c>
    </row>
    <row r="49" spans="3:13" x14ac:dyDescent="0.25">
      <c r="C49" s="1" t="str">
        <f>"5193"</f>
        <v>5193</v>
      </c>
      <c r="E49" s="1" t="str">
        <f>"Fastighetskötsel och förvaltning"</f>
        <v>Fastighetskötsel och förvaltning</v>
      </c>
      <c r="F49" s="2">
        <f>28000+20000</f>
        <v>48000</v>
      </c>
      <c r="G49" s="19"/>
      <c r="H49">
        <v>5000</v>
      </c>
      <c r="I49" s="2"/>
      <c r="L49" s="2">
        <v>10000</v>
      </c>
      <c r="M49" s="2">
        <f t="shared" si="9"/>
        <v>63000</v>
      </c>
    </row>
    <row r="50" spans="3:13" x14ac:dyDescent="0.25">
      <c r="C50" s="1" t="s">
        <v>27</v>
      </c>
      <c r="E50" s="1" t="s">
        <v>28</v>
      </c>
      <c r="F50" s="2"/>
      <c r="G50"/>
      <c r="H50">
        <v>8000</v>
      </c>
      <c r="I50" s="2"/>
      <c r="L50" s="2">
        <v>20000</v>
      </c>
      <c r="M50" s="2">
        <f t="shared" si="9"/>
        <v>28000</v>
      </c>
    </row>
    <row r="51" spans="3:13" x14ac:dyDescent="0.25">
      <c r="C51" s="1" t="str">
        <f>"5410"</f>
        <v>5410</v>
      </c>
      <c r="E51" s="1" t="s">
        <v>16</v>
      </c>
      <c r="F51" s="2">
        <v>15000</v>
      </c>
      <c r="G51"/>
      <c r="H51"/>
      <c r="I51" s="2"/>
      <c r="L51" s="2">
        <v>12000</v>
      </c>
      <c r="M51" s="2">
        <f t="shared" si="9"/>
        <v>27000</v>
      </c>
    </row>
    <row r="52" spans="3:13" x14ac:dyDescent="0.25">
      <c r="C52" s="1" t="str">
        <f>"5420"</f>
        <v>5420</v>
      </c>
      <c r="E52" s="1" t="str">
        <f>"Programvaror"</f>
        <v>Programvaror</v>
      </c>
      <c r="F52" s="2">
        <v>25000</v>
      </c>
      <c r="G52">
        <v>5000</v>
      </c>
      <c r="H52">
        <v>17000</v>
      </c>
      <c r="I52" s="2"/>
      <c r="K52" s="2">
        <v>1500</v>
      </c>
      <c r="M52" s="2">
        <f t="shared" si="9"/>
        <v>48500</v>
      </c>
    </row>
    <row r="53" spans="3:13" x14ac:dyDescent="0.25">
      <c r="C53" s="1" t="str">
        <f>"5618"</f>
        <v>5618</v>
      </c>
      <c r="E53" s="1" t="str">
        <f>"Utbildning"</f>
        <v>Utbildning</v>
      </c>
      <c r="F53" s="2"/>
      <c r="G53">
        <v>30000</v>
      </c>
      <c r="H53">
        <v>50000</v>
      </c>
      <c r="I53" s="2">
        <v>11700</v>
      </c>
      <c r="K53" s="2">
        <v>10000</v>
      </c>
      <c r="M53" s="2">
        <f t="shared" si="9"/>
        <v>101700</v>
      </c>
    </row>
    <row r="54" spans="3:13" x14ac:dyDescent="0.25">
      <c r="C54" s="1" t="str">
        <f>"5700"</f>
        <v>5700</v>
      </c>
      <c r="E54" s="1" t="str">
        <f>"Buss och andra transporter"</f>
        <v>Buss och andra transporter</v>
      </c>
      <c r="F54" s="2"/>
      <c r="G54" s="19"/>
      <c r="H54" s="19"/>
      <c r="I54" s="2">
        <v>17550</v>
      </c>
      <c r="M54" s="2">
        <f t="shared" si="9"/>
        <v>17550</v>
      </c>
    </row>
    <row r="55" spans="3:13" x14ac:dyDescent="0.25">
      <c r="C55" s="1" t="str">
        <f>"5930"</f>
        <v>5930</v>
      </c>
      <c r="E55" s="1" t="s">
        <v>20</v>
      </c>
      <c r="F55" s="2"/>
      <c r="G55" s="19"/>
      <c r="H55" s="19"/>
      <c r="I55" s="2"/>
      <c r="L55" s="2">
        <v>10000</v>
      </c>
      <c r="M55" s="2">
        <f t="shared" si="9"/>
        <v>10000</v>
      </c>
    </row>
    <row r="56" spans="3:13" x14ac:dyDescent="0.25">
      <c r="C56" s="1" t="s">
        <v>21</v>
      </c>
      <c r="E56" s="1" t="s">
        <v>22</v>
      </c>
      <c r="F56" s="2">
        <v>700</v>
      </c>
      <c r="G56" s="19"/>
      <c r="H56" s="19"/>
      <c r="I56" s="2"/>
      <c r="M56" s="2">
        <f t="shared" si="9"/>
        <v>700</v>
      </c>
    </row>
    <row r="57" spans="3:13" x14ac:dyDescent="0.25">
      <c r="C57" s="1" t="str">
        <f>"6110"</f>
        <v>6110</v>
      </c>
      <c r="E57" s="1" t="str">
        <f>"Kontorsmaterial"</f>
        <v>Kontorsmaterial</v>
      </c>
      <c r="F57" s="2">
        <v>1000</v>
      </c>
      <c r="G57" s="19"/>
      <c r="H57" s="19"/>
      <c r="I57" s="2"/>
      <c r="M57" s="2">
        <f t="shared" si="9"/>
        <v>1000</v>
      </c>
    </row>
    <row r="58" spans="3:13" x14ac:dyDescent="0.25">
      <c r="C58" s="1" t="str">
        <f>"6211"</f>
        <v>6211</v>
      </c>
      <c r="E58" s="1" t="s">
        <v>11</v>
      </c>
      <c r="F58" s="2">
        <v>4000</v>
      </c>
      <c r="G58" s="19"/>
      <c r="H58" s="19"/>
      <c r="I58" s="2"/>
      <c r="M58" s="2">
        <f t="shared" si="9"/>
        <v>4000</v>
      </c>
    </row>
    <row r="59" spans="3:13" x14ac:dyDescent="0.25">
      <c r="C59" s="1" t="str">
        <f>"6230"</f>
        <v>6230</v>
      </c>
      <c r="E59" s="1" t="str">
        <f>"Datakommunikation"</f>
        <v>Datakommunikation</v>
      </c>
      <c r="F59" s="2"/>
      <c r="G59" s="19"/>
      <c r="H59" s="19"/>
      <c r="I59" s="2"/>
      <c r="M59" s="2">
        <f t="shared" si="9"/>
        <v>0</v>
      </c>
    </row>
    <row r="60" spans="3:13" x14ac:dyDescent="0.25">
      <c r="C60" s="1" t="str">
        <f>"6250"</f>
        <v>6250</v>
      </c>
      <c r="E60" s="1" t="str">
        <f>"Porto"</f>
        <v>Porto</v>
      </c>
      <c r="F60" s="2"/>
      <c r="G60" s="19"/>
      <c r="H60" s="19"/>
      <c r="I60" s="2"/>
      <c r="M60" s="2">
        <f t="shared" si="9"/>
        <v>0</v>
      </c>
    </row>
    <row r="61" spans="3:13" x14ac:dyDescent="0.25">
      <c r="C61" s="1" t="str">
        <f>"6310"</f>
        <v>6310</v>
      </c>
      <c r="E61" s="1" t="str">
        <f>"Försäkringar"</f>
        <v>Försäkringar</v>
      </c>
      <c r="F61" s="2">
        <v>22000</v>
      </c>
      <c r="G61" s="19"/>
      <c r="H61" s="19"/>
      <c r="I61" s="2"/>
      <c r="M61" s="2">
        <f t="shared" si="9"/>
        <v>22000</v>
      </c>
    </row>
    <row r="62" spans="3:13" x14ac:dyDescent="0.25">
      <c r="C62" s="1" t="s">
        <v>29</v>
      </c>
      <c r="E62" s="1" t="s">
        <v>30</v>
      </c>
      <c r="F62" s="2">
        <f>32500+32500/12*2</f>
        <v>37916.666666666664</v>
      </c>
      <c r="G62" s="19"/>
      <c r="H62" s="19"/>
      <c r="I62" s="2"/>
      <c r="M62" s="2">
        <f t="shared" si="9"/>
        <v>37916.666666666664</v>
      </c>
    </row>
    <row r="63" spans="3:13" x14ac:dyDescent="0.25">
      <c r="C63" s="1" t="str">
        <f>"6390"</f>
        <v>6390</v>
      </c>
      <c r="E63" s="1" t="str">
        <f>"Övr kostnader"</f>
        <v>Övr kostnader</v>
      </c>
      <c r="F63" s="22"/>
      <c r="G63" s="19"/>
      <c r="H63" s="19"/>
      <c r="I63" s="2"/>
      <c r="K63" s="2">
        <v>8000</v>
      </c>
      <c r="M63" s="2">
        <f t="shared" si="9"/>
        <v>8000</v>
      </c>
    </row>
    <row r="64" spans="3:13" x14ac:dyDescent="0.25">
      <c r="C64" s="1" t="str">
        <f>"6570"</f>
        <v>6570</v>
      </c>
      <c r="E64" s="1" t="str">
        <f>"Bankkostnader"</f>
        <v>Bankkostnader</v>
      </c>
      <c r="F64" s="23">
        <v>4000</v>
      </c>
      <c r="G64" s="19"/>
      <c r="H64" s="19"/>
      <c r="I64" s="2"/>
      <c r="K64" s="2">
        <v>2500</v>
      </c>
      <c r="M64" s="2">
        <f t="shared" si="9"/>
        <v>6500</v>
      </c>
    </row>
    <row r="65" spans="1:13" x14ac:dyDescent="0.25">
      <c r="A65" s="3"/>
      <c r="B65" s="3"/>
      <c r="C65" s="3"/>
      <c r="D65" s="3"/>
      <c r="E65" s="3"/>
      <c r="F65" s="2"/>
      <c r="G65" s="20"/>
      <c r="H65" s="20"/>
      <c r="I65" s="17"/>
      <c r="J65" s="6"/>
      <c r="K65" s="6"/>
      <c r="L65" s="6"/>
      <c r="M65" s="7"/>
    </row>
    <row r="66" spans="1:13" s="4" customFormat="1" x14ac:dyDescent="0.25">
      <c r="C66" s="8" t="str">
        <f>"S:a Övriga externa kostnader"</f>
        <v>S:a Övriga externa kostnader</v>
      </c>
      <c r="F66" s="9">
        <f t="shared" ref="F66:M66" si="10">SUM(F44:F64)</f>
        <v>197616.66666666666</v>
      </c>
      <c r="G66" s="15">
        <f t="shared" si="10"/>
        <v>96500</v>
      </c>
      <c r="H66" s="15">
        <f t="shared" si="10"/>
        <v>126500</v>
      </c>
      <c r="I66" s="18">
        <f t="shared" si="10"/>
        <v>122850</v>
      </c>
      <c r="J66" s="9">
        <f t="shared" si="10"/>
        <v>0</v>
      </c>
      <c r="K66" s="9">
        <f t="shared" si="10"/>
        <v>42000</v>
      </c>
      <c r="L66" s="9">
        <f t="shared" si="10"/>
        <v>72000</v>
      </c>
      <c r="M66" s="9">
        <f>SUM(M44:M64)</f>
        <v>657466.66666666663</v>
      </c>
    </row>
    <row r="67" spans="1:13" x14ac:dyDescent="0.25">
      <c r="F67" s="2"/>
      <c r="G67" s="19"/>
      <c r="H67" s="19"/>
      <c r="I67" s="2"/>
      <c r="M67" s="2"/>
    </row>
    <row r="68" spans="1:13" x14ac:dyDescent="0.25">
      <c r="B68" s="1" t="str">
        <f>"Personalkostnader"</f>
        <v>Personalkostnader</v>
      </c>
      <c r="F68" s="2"/>
      <c r="G68" s="19"/>
      <c r="H68" s="19"/>
      <c r="I68" s="2"/>
    </row>
    <row r="69" spans="1:13" x14ac:dyDescent="0.25">
      <c r="C69" s="1" t="str">
        <f>"7010"</f>
        <v>7010</v>
      </c>
      <c r="E69" s="1" t="str">
        <f>"Löner"</f>
        <v>Löner</v>
      </c>
      <c r="F69" s="2">
        <f>(28000-23767)*14</f>
        <v>59262</v>
      </c>
      <c r="G69" s="19"/>
      <c r="H69" s="19"/>
      <c r="I69" s="2"/>
      <c r="M69" s="2">
        <f>SUM(F69:L69)</f>
        <v>59262</v>
      </c>
    </row>
    <row r="70" spans="1:13" x14ac:dyDescent="0.25">
      <c r="C70" s="1" t="s">
        <v>10</v>
      </c>
      <c r="E70" s="1" t="str">
        <f>"Domararvode"</f>
        <v>Domararvode</v>
      </c>
      <c r="F70" s="2"/>
      <c r="G70">
        <f>22*3000</f>
        <v>66000</v>
      </c>
      <c r="H70">
        <f>6000+30000</f>
        <v>36000</v>
      </c>
      <c r="I70" s="2">
        <v>42120</v>
      </c>
      <c r="M70" s="2">
        <f>SUM(F70:L70)</f>
        <v>144120</v>
      </c>
    </row>
    <row r="71" spans="1:13" x14ac:dyDescent="0.25">
      <c r="C71" s="1" t="s">
        <v>17</v>
      </c>
      <c r="E71" s="1" t="s">
        <v>26</v>
      </c>
      <c r="F71" s="2"/>
      <c r="G71" s="19"/>
      <c r="H71" s="19"/>
      <c r="I71" s="2"/>
      <c r="M71" s="2">
        <f>SUM(F71:L71)</f>
        <v>0</v>
      </c>
    </row>
    <row r="72" spans="1:13" x14ac:dyDescent="0.25">
      <c r="C72" s="1" t="str">
        <f>"7510"</f>
        <v>7510</v>
      </c>
      <c r="E72" s="1" t="str">
        <f>"Arbetsgivaravgifter"</f>
        <v>Arbetsgivaravgifter</v>
      </c>
      <c r="F72" s="2">
        <f>F69*0.3142</f>
        <v>18620.1204</v>
      </c>
      <c r="G72" s="19"/>
      <c r="H72" s="19"/>
      <c r="I72" s="2"/>
      <c r="M72" s="2">
        <f>SUM(F72:L72)</f>
        <v>18620.1204</v>
      </c>
    </row>
    <row r="73" spans="1:13" x14ac:dyDescent="0.25">
      <c r="C73" s="1" t="s">
        <v>23</v>
      </c>
      <c r="E73" s="1" t="s">
        <v>24</v>
      </c>
      <c r="F73" s="23">
        <f>14*28000*0.0476</f>
        <v>18659.2</v>
      </c>
      <c r="G73" s="19"/>
      <c r="H73" s="19"/>
      <c r="I73" s="2"/>
      <c r="M73" s="2"/>
    </row>
    <row r="74" spans="1:13" x14ac:dyDescent="0.25">
      <c r="A74" s="3"/>
      <c r="B74" s="3"/>
      <c r="C74" s="3"/>
      <c r="D74" s="3"/>
      <c r="E74" s="3"/>
      <c r="F74" s="2"/>
      <c r="G74" s="20"/>
      <c r="H74" s="20"/>
      <c r="I74" s="17"/>
      <c r="J74" s="6"/>
      <c r="K74" s="6"/>
      <c r="L74" s="6"/>
      <c r="M74" s="7"/>
    </row>
    <row r="75" spans="1:13" s="4" customFormat="1" x14ac:dyDescent="0.25">
      <c r="C75" s="8" t="str">
        <f>"S:a Personalkostnader"</f>
        <v>S:a Personalkostnader</v>
      </c>
      <c r="F75" s="9">
        <f t="shared" ref="F75:L75" si="11">SUM(F69:F73)</f>
        <v>96541.320399999997</v>
      </c>
      <c r="G75" s="15">
        <f t="shared" si="11"/>
        <v>66000</v>
      </c>
      <c r="H75" s="15">
        <f t="shared" si="11"/>
        <v>36000</v>
      </c>
      <c r="I75" s="18">
        <f t="shared" si="11"/>
        <v>42120</v>
      </c>
      <c r="J75" s="9">
        <f t="shared" si="11"/>
        <v>0</v>
      </c>
      <c r="K75" s="9">
        <f t="shared" si="11"/>
        <v>0</v>
      </c>
      <c r="L75" s="9">
        <f t="shared" si="11"/>
        <v>0</v>
      </c>
      <c r="M75" s="9">
        <f>SUM(F75:K75)</f>
        <v>240661.3204</v>
      </c>
    </row>
    <row r="76" spans="1:13" x14ac:dyDescent="0.25">
      <c r="F76" s="2"/>
      <c r="G76" s="19"/>
      <c r="H76" s="19"/>
      <c r="I76" s="2"/>
      <c r="M76" s="9"/>
    </row>
    <row r="77" spans="1:13" x14ac:dyDescent="0.25">
      <c r="C77" s="5">
        <v>7830</v>
      </c>
      <c r="E77" t="s">
        <v>18</v>
      </c>
      <c r="F77" s="2">
        <v>15000</v>
      </c>
      <c r="G77" s="19"/>
      <c r="H77" s="19"/>
      <c r="I77" s="2"/>
      <c r="M77" s="9">
        <f>SUM(F77:L77)</f>
        <v>15000</v>
      </c>
    </row>
    <row r="78" spans="1:13" x14ac:dyDescent="0.25">
      <c r="F78" s="2"/>
      <c r="G78" s="19"/>
      <c r="H78" s="19"/>
      <c r="I78" s="2"/>
      <c r="M78" s="9"/>
    </row>
    <row r="79" spans="1:13" x14ac:dyDescent="0.25">
      <c r="F79" s="14"/>
      <c r="G79" s="19"/>
      <c r="H79" s="19"/>
      <c r="I79" s="2"/>
    </row>
    <row r="80" spans="1:13" x14ac:dyDescent="0.25">
      <c r="A80" s="3"/>
      <c r="B80" s="3"/>
      <c r="C80" s="3"/>
      <c r="D80" s="3"/>
      <c r="E80" s="3"/>
      <c r="F80" s="2"/>
      <c r="G80" s="20"/>
      <c r="H80" s="20"/>
      <c r="I80" s="17"/>
      <c r="J80" s="6"/>
      <c r="K80" s="6"/>
      <c r="L80" s="6"/>
      <c r="M80" s="7"/>
    </row>
    <row r="81" spans="1:13" s="4" customFormat="1" x14ac:dyDescent="0.25">
      <c r="B81" s="8" t="s">
        <v>2</v>
      </c>
      <c r="F81" s="9">
        <f>F75+F66+F38+F77</f>
        <v>316157.98706666665</v>
      </c>
      <c r="G81" s="15">
        <f t="shared" ref="G81:L81" si="12">G75+G66+G38</f>
        <v>256500</v>
      </c>
      <c r="H81" s="15">
        <f t="shared" si="12"/>
        <v>198500</v>
      </c>
      <c r="I81" s="18">
        <f t="shared" si="12"/>
        <v>276120</v>
      </c>
      <c r="J81" s="9">
        <f t="shared" si="12"/>
        <v>0</v>
      </c>
      <c r="K81" s="9">
        <f t="shared" si="12"/>
        <v>82000</v>
      </c>
      <c r="L81" s="9">
        <f t="shared" si="12"/>
        <v>72000</v>
      </c>
      <c r="M81" s="9">
        <f>M75+M66+M38+M77</f>
        <v>1201277.9870666666</v>
      </c>
    </row>
    <row r="82" spans="1:13" x14ac:dyDescent="0.25">
      <c r="F82" s="23"/>
      <c r="G82" s="19"/>
      <c r="H82" s="19"/>
      <c r="I82" s="2"/>
    </row>
    <row r="83" spans="1:13" x14ac:dyDescent="0.25">
      <c r="A83" s="3"/>
      <c r="B83" s="3"/>
      <c r="C83" s="3"/>
      <c r="D83" s="3"/>
      <c r="E83" s="3"/>
      <c r="F83" s="2"/>
      <c r="G83" s="20"/>
      <c r="H83" s="20"/>
      <c r="I83" s="17"/>
      <c r="J83" s="6"/>
      <c r="K83" s="6"/>
      <c r="L83" s="6"/>
      <c r="M83" s="7"/>
    </row>
    <row r="84" spans="1:13" x14ac:dyDescent="0.25">
      <c r="A84" s="8" t="s">
        <v>3</v>
      </c>
      <c r="B84" s="4"/>
      <c r="C84" s="4"/>
      <c r="D84" s="4"/>
      <c r="E84" s="4"/>
      <c r="F84" s="9">
        <f t="shared" ref="F84:M84" si="13">F28-F81</f>
        <v>39342.012933333346</v>
      </c>
      <c r="G84" s="15">
        <f t="shared" si="13"/>
        <v>-24000</v>
      </c>
      <c r="H84" s="15">
        <f t="shared" si="13"/>
        <v>-19500</v>
      </c>
      <c r="I84" s="18">
        <f t="shared" si="13"/>
        <v>0</v>
      </c>
      <c r="J84" s="9">
        <f t="shared" si="13"/>
        <v>30000</v>
      </c>
      <c r="K84" s="9">
        <f t="shared" si="13"/>
        <v>15000</v>
      </c>
      <c r="L84" s="9">
        <f t="shared" si="13"/>
        <v>5500</v>
      </c>
      <c r="M84" s="9">
        <f>M28-M81</f>
        <v>46342.012933333404</v>
      </c>
    </row>
    <row r="85" spans="1:13" x14ac:dyDescent="0.25">
      <c r="F85" s="2"/>
      <c r="I85" s="2"/>
    </row>
    <row r="86" spans="1:13" x14ac:dyDescent="0.25">
      <c r="F86" s="2"/>
      <c r="I86" s="2"/>
    </row>
    <row r="87" spans="1:13" x14ac:dyDescent="0.25">
      <c r="F87" s="2"/>
      <c r="I87" s="2"/>
    </row>
    <row r="88" spans="1:13" x14ac:dyDescent="0.25">
      <c r="F88" s="2"/>
      <c r="I88" s="2"/>
    </row>
    <row r="89" spans="1:13" x14ac:dyDescent="0.25">
      <c r="F89" s="2"/>
      <c r="I89" s="2"/>
    </row>
    <row r="90" spans="1:13" x14ac:dyDescent="0.25">
      <c r="F90" s="2"/>
      <c r="I90" s="2"/>
    </row>
    <row r="91" spans="1:13" x14ac:dyDescent="0.25">
      <c r="F91" s="2"/>
      <c r="I91" s="2"/>
    </row>
    <row r="92" spans="1:13" x14ac:dyDescent="0.25">
      <c r="F92" s="2"/>
      <c r="I92" s="2"/>
    </row>
    <row r="93" spans="1:13" x14ac:dyDescent="0.25">
      <c r="F93" s="2"/>
      <c r="I93" s="2"/>
    </row>
    <row r="94" spans="1:13" s="2" customFormat="1" x14ac:dyDescent="0.25">
      <c r="A94"/>
      <c r="B94"/>
      <c r="C94"/>
      <c r="D94"/>
      <c r="E94"/>
      <c r="M94"/>
    </row>
    <row r="95" spans="1:13" s="2" customFormat="1" x14ac:dyDescent="0.25">
      <c r="A95"/>
      <c r="B95"/>
      <c r="C95"/>
      <c r="D95"/>
      <c r="E95"/>
      <c r="M95"/>
    </row>
    <row r="96" spans="1:13" s="2" customFormat="1" x14ac:dyDescent="0.25">
      <c r="A96"/>
      <c r="B96"/>
      <c r="C96"/>
      <c r="D96"/>
      <c r="E96"/>
      <c r="M96"/>
    </row>
    <row r="97" spans="1:13" s="2" customFormat="1" x14ac:dyDescent="0.25">
      <c r="A97"/>
      <c r="B97"/>
      <c r="C97"/>
      <c r="D97"/>
      <c r="E97"/>
      <c r="M97"/>
    </row>
    <row r="98" spans="1:13" s="2" customFormat="1" x14ac:dyDescent="0.25">
      <c r="A98"/>
      <c r="B98"/>
      <c r="C98"/>
      <c r="D98"/>
      <c r="E98"/>
      <c r="M98"/>
    </row>
    <row r="99" spans="1:13" s="2" customFormat="1" x14ac:dyDescent="0.25">
      <c r="A99"/>
      <c r="B99"/>
      <c r="C99"/>
      <c r="D99"/>
      <c r="E99"/>
      <c r="M99"/>
    </row>
    <row r="100" spans="1:13" s="2" customFormat="1" x14ac:dyDescent="0.25">
      <c r="A100"/>
      <c r="B100"/>
      <c r="C100"/>
      <c r="D100"/>
      <c r="E100"/>
      <c r="M100"/>
    </row>
    <row r="101" spans="1:13" s="2" customFormat="1" x14ac:dyDescent="0.25">
      <c r="A101"/>
      <c r="B101"/>
      <c r="C101"/>
      <c r="D101"/>
      <c r="E101"/>
      <c r="M101"/>
    </row>
    <row r="102" spans="1:13" s="2" customFormat="1" x14ac:dyDescent="0.25">
      <c r="A102"/>
      <c r="B102"/>
      <c r="C102"/>
      <c r="D102"/>
      <c r="E102"/>
      <c r="M102"/>
    </row>
    <row r="103" spans="1:13" s="2" customFormat="1" x14ac:dyDescent="0.25">
      <c r="A103"/>
      <c r="B103"/>
      <c r="C103"/>
      <c r="D103"/>
      <c r="E103"/>
      <c r="M103"/>
    </row>
    <row r="104" spans="1:13" s="2" customFormat="1" x14ac:dyDescent="0.25">
      <c r="A104"/>
      <c r="B104"/>
      <c r="C104"/>
      <c r="D104"/>
      <c r="E104"/>
      <c r="M104"/>
    </row>
    <row r="105" spans="1:13" s="2" customFormat="1" x14ac:dyDescent="0.25">
      <c r="A105"/>
      <c r="B105"/>
      <c r="C105"/>
      <c r="D105"/>
      <c r="E105"/>
      <c r="M105"/>
    </row>
    <row r="106" spans="1:13" s="2" customFormat="1" x14ac:dyDescent="0.25">
      <c r="A106"/>
      <c r="B106"/>
      <c r="C106"/>
      <c r="D106"/>
      <c r="E106"/>
      <c r="M106"/>
    </row>
    <row r="107" spans="1:13" s="2" customFormat="1" x14ac:dyDescent="0.25">
      <c r="A107"/>
      <c r="B107"/>
      <c r="C107"/>
      <c r="D107"/>
      <c r="E107"/>
      <c r="M107"/>
    </row>
    <row r="108" spans="1:13" s="2" customFormat="1" x14ac:dyDescent="0.25">
      <c r="A108"/>
      <c r="B108"/>
      <c r="C108"/>
      <c r="D108"/>
      <c r="E108"/>
      <c r="M108"/>
    </row>
    <row r="109" spans="1:13" s="2" customFormat="1" x14ac:dyDescent="0.25">
      <c r="A109"/>
      <c r="B109"/>
      <c r="C109"/>
      <c r="D109"/>
      <c r="E109"/>
      <c r="M109"/>
    </row>
    <row r="110" spans="1:13" s="2" customFormat="1" x14ac:dyDescent="0.25">
      <c r="A110"/>
      <c r="B110"/>
      <c r="C110"/>
      <c r="D110"/>
      <c r="E110"/>
      <c r="M110"/>
    </row>
    <row r="111" spans="1:13" s="2" customFormat="1" x14ac:dyDescent="0.25">
      <c r="A111"/>
      <c r="B111"/>
      <c r="C111"/>
      <c r="D111"/>
      <c r="E111"/>
      <c r="M111"/>
    </row>
    <row r="112" spans="1:13" s="2" customFormat="1" x14ac:dyDescent="0.25">
      <c r="A112"/>
      <c r="B112"/>
      <c r="C112"/>
      <c r="D112"/>
      <c r="E112"/>
      <c r="M112"/>
    </row>
    <row r="113" spans="1:13" s="2" customFormat="1" x14ac:dyDescent="0.25">
      <c r="A113"/>
      <c r="B113"/>
      <c r="C113"/>
      <c r="D113"/>
      <c r="E113"/>
      <c r="M113"/>
    </row>
    <row r="114" spans="1:13" s="2" customFormat="1" x14ac:dyDescent="0.25">
      <c r="A114"/>
      <c r="B114"/>
      <c r="C114"/>
      <c r="D114"/>
      <c r="E114"/>
      <c r="M114"/>
    </row>
    <row r="115" spans="1:13" s="2" customFormat="1" x14ac:dyDescent="0.25">
      <c r="A115"/>
      <c r="B115"/>
      <c r="C115"/>
      <c r="D115"/>
      <c r="E115"/>
      <c r="M115"/>
    </row>
    <row r="116" spans="1:13" s="2" customFormat="1" x14ac:dyDescent="0.25">
      <c r="A116"/>
      <c r="B116"/>
      <c r="C116"/>
      <c r="D116"/>
      <c r="E116"/>
      <c r="M116"/>
    </row>
    <row r="117" spans="1:13" s="2" customFormat="1" x14ac:dyDescent="0.25">
      <c r="A117"/>
      <c r="B117"/>
      <c r="C117"/>
      <c r="D117"/>
      <c r="E117"/>
      <c r="M117"/>
    </row>
    <row r="118" spans="1:13" s="2" customFormat="1" x14ac:dyDescent="0.25">
      <c r="A118"/>
      <c r="B118"/>
      <c r="C118"/>
      <c r="D118"/>
      <c r="E118"/>
      <c r="M118"/>
    </row>
    <row r="119" spans="1:13" s="2" customFormat="1" x14ac:dyDescent="0.25">
      <c r="A119"/>
      <c r="B119"/>
      <c r="C119"/>
      <c r="D119"/>
      <c r="E119"/>
      <c r="M119"/>
    </row>
    <row r="120" spans="1:13" s="2" customFormat="1" x14ac:dyDescent="0.25">
      <c r="A120"/>
      <c r="B120"/>
      <c r="C120"/>
      <c r="D120"/>
      <c r="E120"/>
      <c r="M120"/>
    </row>
    <row r="121" spans="1:13" s="2" customFormat="1" x14ac:dyDescent="0.25">
      <c r="A121"/>
      <c r="B121"/>
      <c r="C121"/>
      <c r="D121"/>
      <c r="E121"/>
      <c r="M121"/>
    </row>
    <row r="122" spans="1:13" s="2" customFormat="1" x14ac:dyDescent="0.25">
      <c r="A122"/>
      <c r="B122"/>
      <c r="C122"/>
      <c r="D122"/>
      <c r="E122"/>
      <c r="M122"/>
    </row>
    <row r="123" spans="1:13" s="2" customFormat="1" x14ac:dyDescent="0.25">
      <c r="A123"/>
      <c r="B123"/>
      <c r="C123"/>
      <c r="D123"/>
      <c r="E123"/>
      <c r="M123"/>
    </row>
    <row r="124" spans="1:13" s="2" customFormat="1" x14ac:dyDescent="0.25">
      <c r="A124"/>
      <c r="B124"/>
      <c r="C124"/>
      <c r="D124"/>
      <c r="E124"/>
      <c r="M124"/>
    </row>
    <row r="125" spans="1:13" s="2" customFormat="1" x14ac:dyDescent="0.25">
      <c r="A125"/>
      <c r="B125"/>
      <c r="C125"/>
      <c r="D125"/>
      <c r="E125"/>
      <c r="M125"/>
    </row>
    <row r="126" spans="1:13" s="2" customFormat="1" x14ac:dyDescent="0.25">
      <c r="A126"/>
      <c r="B126"/>
      <c r="C126"/>
      <c r="D126"/>
      <c r="E126"/>
      <c r="M126"/>
    </row>
    <row r="127" spans="1:13" s="2" customFormat="1" x14ac:dyDescent="0.25">
      <c r="A127"/>
      <c r="B127"/>
      <c r="C127"/>
      <c r="D127"/>
      <c r="E127"/>
      <c r="M127"/>
    </row>
    <row r="128" spans="1:13" s="2" customFormat="1" x14ac:dyDescent="0.25">
      <c r="A128"/>
      <c r="B128"/>
      <c r="C128"/>
      <c r="D128"/>
      <c r="E128"/>
      <c r="M128"/>
    </row>
    <row r="129" spans="1:13" s="2" customFormat="1" x14ac:dyDescent="0.25">
      <c r="A129"/>
      <c r="B129"/>
      <c r="C129"/>
      <c r="D129"/>
      <c r="E129"/>
      <c r="M129"/>
    </row>
    <row r="130" spans="1:13" s="2" customFormat="1" x14ac:dyDescent="0.25">
      <c r="A130"/>
      <c r="B130"/>
      <c r="C130"/>
      <c r="D130"/>
      <c r="E130"/>
      <c r="M130"/>
    </row>
    <row r="131" spans="1:13" s="2" customFormat="1" x14ac:dyDescent="0.25">
      <c r="A131"/>
      <c r="B131"/>
      <c r="C131"/>
      <c r="D131"/>
      <c r="E131"/>
      <c r="M131"/>
    </row>
    <row r="132" spans="1:13" s="2" customFormat="1" x14ac:dyDescent="0.25">
      <c r="A132"/>
      <c r="B132"/>
      <c r="C132"/>
      <c r="D132"/>
      <c r="E132"/>
      <c r="M132"/>
    </row>
    <row r="133" spans="1:13" s="2" customFormat="1" x14ac:dyDescent="0.25">
      <c r="A133"/>
      <c r="B133"/>
      <c r="C133"/>
      <c r="D133"/>
      <c r="E133"/>
      <c r="M133"/>
    </row>
    <row r="134" spans="1:13" s="2" customFormat="1" x14ac:dyDescent="0.25">
      <c r="A134"/>
      <c r="B134"/>
      <c r="C134"/>
      <c r="D134"/>
      <c r="E134"/>
      <c r="M134"/>
    </row>
    <row r="135" spans="1:13" s="2" customFormat="1" x14ac:dyDescent="0.25">
      <c r="A135"/>
      <c r="B135"/>
      <c r="C135"/>
      <c r="D135"/>
      <c r="E135"/>
      <c r="M135"/>
    </row>
    <row r="136" spans="1:13" s="2" customFormat="1" x14ac:dyDescent="0.25">
      <c r="A136"/>
      <c r="B136"/>
      <c r="C136"/>
      <c r="D136"/>
      <c r="E136"/>
      <c r="M136"/>
    </row>
    <row r="137" spans="1:13" s="2" customFormat="1" x14ac:dyDescent="0.25">
      <c r="A137"/>
      <c r="B137"/>
      <c r="C137"/>
      <c r="D137"/>
      <c r="E137"/>
      <c r="M137"/>
    </row>
    <row r="138" spans="1:13" s="2" customFormat="1" x14ac:dyDescent="0.25">
      <c r="A138"/>
      <c r="B138"/>
      <c r="C138"/>
      <c r="D138"/>
      <c r="E138"/>
      <c r="M138"/>
    </row>
    <row r="139" spans="1:13" s="2" customFormat="1" x14ac:dyDescent="0.25">
      <c r="A139"/>
      <c r="B139"/>
      <c r="C139"/>
      <c r="D139"/>
      <c r="E139"/>
      <c r="M139"/>
    </row>
    <row r="140" spans="1:13" s="2" customFormat="1" x14ac:dyDescent="0.25">
      <c r="A140"/>
      <c r="B140"/>
      <c r="C140"/>
      <c r="D140"/>
      <c r="E140"/>
      <c r="M140"/>
    </row>
    <row r="141" spans="1:13" s="2" customFormat="1" x14ac:dyDescent="0.25">
      <c r="A141"/>
      <c r="B141"/>
      <c r="C141"/>
      <c r="D141"/>
      <c r="E141"/>
      <c r="M141"/>
    </row>
    <row r="142" spans="1:13" s="2" customFormat="1" x14ac:dyDescent="0.25">
      <c r="A142"/>
      <c r="B142"/>
      <c r="C142"/>
      <c r="D142"/>
      <c r="E142"/>
      <c r="M142"/>
    </row>
    <row r="143" spans="1:13" s="2" customFormat="1" x14ac:dyDescent="0.25">
      <c r="A143"/>
      <c r="B143"/>
      <c r="C143"/>
      <c r="D143"/>
      <c r="E143"/>
      <c r="M143"/>
    </row>
    <row r="144" spans="1:13" s="2" customFormat="1" x14ac:dyDescent="0.25">
      <c r="A144"/>
      <c r="B144"/>
      <c r="C144"/>
      <c r="D144"/>
      <c r="E144"/>
      <c r="M144"/>
    </row>
    <row r="145" spans="1:13" s="2" customFormat="1" x14ac:dyDescent="0.25">
      <c r="A145"/>
      <c r="B145"/>
      <c r="C145"/>
      <c r="D145"/>
      <c r="E145"/>
      <c r="M145"/>
    </row>
    <row r="146" spans="1:13" s="2" customFormat="1" x14ac:dyDescent="0.25">
      <c r="A146"/>
      <c r="B146"/>
      <c r="C146"/>
      <c r="D146"/>
      <c r="E146"/>
      <c r="M146"/>
    </row>
    <row r="147" spans="1:13" s="2" customFormat="1" x14ac:dyDescent="0.25">
      <c r="A147"/>
      <c r="B147"/>
      <c r="C147"/>
      <c r="D147"/>
      <c r="E147"/>
      <c r="M147"/>
    </row>
    <row r="148" spans="1:13" s="2" customFormat="1" x14ac:dyDescent="0.25">
      <c r="A148"/>
      <c r="B148"/>
      <c r="C148"/>
      <c r="D148"/>
      <c r="E148"/>
      <c r="M148"/>
    </row>
    <row r="149" spans="1:13" s="2" customFormat="1" x14ac:dyDescent="0.25">
      <c r="A149"/>
      <c r="B149"/>
      <c r="C149"/>
      <c r="D149"/>
      <c r="E149"/>
      <c r="M149"/>
    </row>
    <row r="150" spans="1:13" s="2" customFormat="1" x14ac:dyDescent="0.25">
      <c r="A150"/>
      <c r="B150"/>
      <c r="C150"/>
      <c r="D150"/>
      <c r="E150"/>
      <c r="M150"/>
    </row>
    <row r="151" spans="1:13" s="2" customFormat="1" x14ac:dyDescent="0.25">
      <c r="A151"/>
      <c r="B151"/>
      <c r="C151"/>
      <c r="D151"/>
      <c r="E151"/>
      <c r="M151"/>
    </row>
    <row r="152" spans="1:13" s="2" customFormat="1" x14ac:dyDescent="0.25">
      <c r="A152"/>
      <c r="B152"/>
      <c r="C152"/>
      <c r="D152"/>
      <c r="E152"/>
      <c r="M152"/>
    </row>
    <row r="153" spans="1:13" s="2" customFormat="1" x14ac:dyDescent="0.25">
      <c r="A153"/>
      <c r="B153"/>
      <c r="C153"/>
      <c r="D153"/>
      <c r="E153"/>
      <c r="M153"/>
    </row>
    <row r="154" spans="1:13" s="2" customFormat="1" x14ac:dyDescent="0.25">
      <c r="A154"/>
      <c r="B154"/>
      <c r="C154"/>
      <c r="D154"/>
      <c r="E154"/>
      <c r="M154"/>
    </row>
    <row r="155" spans="1:13" s="2" customFormat="1" x14ac:dyDescent="0.25">
      <c r="A155"/>
      <c r="B155"/>
      <c r="C155"/>
      <c r="D155"/>
      <c r="E155"/>
      <c r="M155"/>
    </row>
    <row r="156" spans="1:13" s="2" customFormat="1" x14ac:dyDescent="0.25">
      <c r="A156"/>
      <c r="B156"/>
      <c r="C156"/>
      <c r="D156"/>
      <c r="E156"/>
      <c r="M156"/>
    </row>
    <row r="157" spans="1:13" s="2" customFormat="1" x14ac:dyDescent="0.25">
      <c r="A157"/>
      <c r="B157"/>
      <c r="C157"/>
      <c r="D157"/>
      <c r="E157"/>
      <c r="M157"/>
    </row>
    <row r="158" spans="1:13" s="2" customFormat="1" x14ac:dyDescent="0.25">
      <c r="A158"/>
      <c r="B158"/>
      <c r="C158"/>
      <c r="D158"/>
      <c r="E158"/>
      <c r="M158"/>
    </row>
    <row r="159" spans="1:13" s="2" customFormat="1" x14ac:dyDescent="0.25">
      <c r="A159"/>
      <c r="B159"/>
      <c r="C159"/>
      <c r="D159"/>
      <c r="E159"/>
      <c r="M159"/>
    </row>
    <row r="160" spans="1:13" s="2" customFormat="1" x14ac:dyDescent="0.25">
      <c r="A160"/>
      <c r="B160"/>
      <c r="C160"/>
      <c r="D160"/>
      <c r="E160"/>
      <c r="M160"/>
    </row>
    <row r="161" spans="1:13" s="2" customFormat="1" x14ac:dyDescent="0.25">
      <c r="A161"/>
      <c r="B161"/>
      <c r="C161"/>
      <c r="D161"/>
      <c r="E161"/>
      <c r="M161"/>
    </row>
    <row r="162" spans="1:13" s="2" customFormat="1" x14ac:dyDescent="0.25">
      <c r="A162"/>
      <c r="B162"/>
      <c r="C162"/>
      <c r="D162"/>
      <c r="E162"/>
      <c r="M162"/>
    </row>
    <row r="163" spans="1:13" s="2" customFormat="1" x14ac:dyDescent="0.25">
      <c r="A163"/>
      <c r="B163"/>
      <c r="C163"/>
      <c r="D163"/>
      <c r="E163"/>
      <c r="M163"/>
    </row>
    <row r="164" spans="1:13" s="2" customFormat="1" x14ac:dyDescent="0.25">
      <c r="A164"/>
      <c r="B164"/>
      <c r="C164"/>
      <c r="D164"/>
      <c r="E164"/>
      <c r="M164"/>
    </row>
    <row r="165" spans="1:13" s="2" customFormat="1" x14ac:dyDescent="0.25">
      <c r="A165"/>
      <c r="B165"/>
      <c r="C165"/>
      <c r="D165"/>
      <c r="E165"/>
      <c r="M165"/>
    </row>
    <row r="166" spans="1:13" s="2" customFormat="1" x14ac:dyDescent="0.25">
      <c r="A166"/>
      <c r="B166"/>
      <c r="C166"/>
      <c r="D166"/>
      <c r="E166"/>
      <c r="M166"/>
    </row>
    <row r="167" spans="1:13" s="2" customFormat="1" x14ac:dyDescent="0.25">
      <c r="A167"/>
      <c r="B167"/>
      <c r="C167"/>
      <c r="D167"/>
      <c r="E167"/>
      <c r="M167"/>
    </row>
    <row r="168" spans="1:13" s="2" customFormat="1" x14ac:dyDescent="0.25">
      <c r="A168"/>
      <c r="B168"/>
      <c r="C168"/>
      <c r="D168"/>
      <c r="E168"/>
      <c r="M168"/>
    </row>
    <row r="169" spans="1:13" s="2" customFormat="1" x14ac:dyDescent="0.25">
      <c r="A169"/>
      <c r="B169"/>
      <c r="C169"/>
      <c r="D169"/>
      <c r="E169"/>
      <c r="M169"/>
    </row>
    <row r="170" spans="1:13" s="2" customFormat="1" x14ac:dyDescent="0.25">
      <c r="A170"/>
      <c r="B170"/>
      <c r="C170"/>
      <c r="D170"/>
      <c r="E170"/>
      <c r="M170"/>
    </row>
    <row r="171" spans="1:13" s="2" customFormat="1" x14ac:dyDescent="0.25">
      <c r="A171"/>
      <c r="B171"/>
      <c r="C171"/>
      <c r="D171"/>
      <c r="E171"/>
      <c r="M171"/>
    </row>
    <row r="172" spans="1:13" s="2" customFormat="1" x14ac:dyDescent="0.25">
      <c r="A172"/>
      <c r="B172"/>
      <c r="C172"/>
      <c r="D172"/>
      <c r="E172"/>
      <c r="M172"/>
    </row>
    <row r="173" spans="1:13" s="2" customFormat="1" x14ac:dyDescent="0.25">
      <c r="A173"/>
      <c r="B173"/>
      <c r="C173"/>
      <c r="D173"/>
      <c r="E173"/>
      <c r="M173"/>
    </row>
    <row r="174" spans="1:13" s="2" customFormat="1" x14ac:dyDescent="0.25">
      <c r="A174"/>
      <c r="B174"/>
      <c r="C174"/>
      <c r="D174"/>
      <c r="E174"/>
      <c r="M174"/>
    </row>
    <row r="175" spans="1:13" s="2" customFormat="1" x14ac:dyDescent="0.25">
      <c r="A175"/>
      <c r="B175"/>
      <c r="C175"/>
      <c r="D175"/>
      <c r="E175"/>
      <c r="M175"/>
    </row>
    <row r="176" spans="1:13" s="2" customFormat="1" x14ac:dyDescent="0.25">
      <c r="A176"/>
      <c r="B176"/>
      <c r="C176"/>
      <c r="D176"/>
      <c r="E176"/>
      <c r="M176"/>
    </row>
    <row r="177" spans="1:13" s="2" customFormat="1" x14ac:dyDescent="0.25">
      <c r="A177"/>
      <c r="B177"/>
      <c r="C177"/>
      <c r="D177"/>
      <c r="E177"/>
      <c r="M177"/>
    </row>
    <row r="178" spans="1:13" s="2" customFormat="1" x14ac:dyDescent="0.25">
      <c r="A178"/>
      <c r="B178"/>
      <c r="C178"/>
      <c r="D178"/>
      <c r="E178"/>
      <c r="M178"/>
    </row>
    <row r="179" spans="1:13" s="2" customFormat="1" x14ac:dyDescent="0.25">
      <c r="A179"/>
      <c r="B179"/>
      <c r="C179"/>
      <c r="D179"/>
      <c r="E179"/>
      <c r="M179"/>
    </row>
    <row r="180" spans="1:13" s="2" customFormat="1" x14ac:dyDescent="0.25">
      <c r="A180"/>
      <c r="B180"/>
      <c r="C180"/>
      <c r="D180"/>
      <c r="E180"/>
      <c r="M180"/>
    </row>
    <row r="181" spans="1:13" s="2" customFormat="1" x14ac:dyDescent="0.25">
      <c r="A181"/>
      <c r="B181"/>
      <c r="C181"/>
      <c r="D181"/>
      <c r="E181"/>
      <c r="M181"/>
    </row>
    <row r="182" spans="1:13" s="2" customFormat="1" x14ac:dyDescent="0.25">
      <c r="A182"/>
      <c r="B182"/>
      <c r="C182"/>
      <c r="D182"/>
      <c r="E182"/>
      <c r="M182"/>
    </row>
    <row r="183" spans="1:13" s="2" customFormat="1" x14ac:dyDescent="0.25">
      <c r="A183"/>
      <c r="B183"/>
      <c r="C183"/>
      <c r="D183"/>
      <c r="E183"/>
      <c r="M183"/>
    </row>
    <row r="184" spans="1:13" s="2" customFormat="1" x14ac:dyDescent="0.25">
      <c r="A184"/>
      <c r="B184"/>
      <c r="C184"/>
      <c r="D184"/>
      <c r="E184"/>
      <c r="M184"/>
    </row>
    <row r="185" spans="1:13" s="2" customFormat="1" x14ac:dyDescent="0.25">
      <c r="A185"/>
      <c r="B185"/>
      <c r="C185"/>
      <c r="D185"/>
      <c r="E185"/>
      <c r="M185"/>
    </row>
    <row r="186" spans="1:13" s="2" customFormat="1" x14ac:dyDescent="0.25">
      <c r="A186"/>
      <c r="B186"/>
      <c r="C186"/>
      <c r="D186"/>
      <c r="E186"/>
      <c r="M186"/>
    </row>
    <row r="187" spans="1:13" s="2" customFormat="1" x14ac:dyDescent="0.25">
      <c r="A187"/>
      <c r="B187"/>
      <c r="C187"/>
      <c r="D187"/>
      <c r="E187"/>
      <c r="M187"/>
    </row>
    <row r="188" spans="1:13" s="2" customFormat="1" x14ac:dyDescent="0.25">
      <c r="A188"/>
      <c r="B188"/>
      <c r="C188"/>
      <c r="D188"/>
      <c r="E188"/>
      <c r="M188"/>
    </row>
    <row r="189" spans="1:13" s="2" customFormat="1" x14ac:dyDescent="0.25">
      <c r="A189"/>
      <c r="B189"/>
      <c r="C189"/>
      <c r="D189"/>
      <c r="E189"/>
      <c r="M189"/>
    </row>
    <row r="190" spans="1:13" s="2" customFormat="1" x14ac:dyDescent="0.25">
      <c r="A190"/>
      <c r="B190"/>
      <c r="C190"/>
      <c r="D190"/>
      <c r="E190"/>
      <c r="M190"/>
    </row>
    <row r="191" spans="1:13" s="2" customFormat="1" x14ac:dyDescent="0.25">
      <c r="A191"/>
      <c r="B191"/>
      <c r="C191"/>
      <c r="D191"/>
      <c r="E191"/>
      <c r="M191"/>
    </row>
    <row r="192" spans="1:13" s="2" customFormat="1" x14ac:dyDescent="0.25">
      <c r="A192"/>
      <c r="B192"/>
      <c r="C192"/>
      <c r="D192"/>
      <c r="E192"/>
      <c r="M192"/>
    </row>
    <row r="193" spans="1:13" s="2" customFormat="1" x14ac:dyDescent="0.25">
      <c r="A193"/>
      <c r="B193"/>
      <c r="C193"/>
      <c r="D193"/>
      <c r="E193"/>
      <c r="M193"/>
    </row>
    <row r="194" spans="1:13" s="2" customFormat="1" x14ac:dyDescent="0.25">
      <c r="A194"/>
      <c r="B194"/>
      <c r="C194"/>
      <c r="D194"/>
      <c r="E194"/>
      <c r="M194"/>
    </row>
    <row r="195" spans="1:13" s="2" customFormat="1" x14ac:dyDescent="0.25">
      <c r="A195"/>
      <c r="B195"/>
      <c r="C195"/>
      <c r="D195"/>
      <c r="E195"/>
      <c r="M195"/>
    </row>
    <row r="196" spans="1:13" s="2" customFormat="1" x14ac:dyDescent="0.25">
      <c r="A196"/>
      <c r="B196"/>
      <c r="C196"/>
      <c r="D196"/>
      <c r="E196"/>
      <c r="M196"/>
    </row>
    <row r="197" spans="1:13" s="2" customFormat="1" x14ac:dyDescent="0.25">
      <c r="A197"/>
      <c r="B197"/>
      <c r="C197"/>
      <c r="D197"/>
      <c r="E197"/>
      <c r="M197"/>
    </row>
    <row r="198" spans="1:13" s="2" customFormat="1" x14ac:dyDescent="0.25">
      <c r="A198"/>
      <c r="B198"/>
      <c r="C198"/>
      <c r="D198"/>
      <c r="E198"/>
      <c r="M198"/>
    </row>
    <row r="199" spans="1:13" s="2" customFormat="1" x14ac:dyDescent="0.25">
      <c r="A199"/>
      <c r="B199"/>
      <c r="C199"/>
      <c r="D199"/>
      <c r="E199"/>
      <c r="M199"/>
    </row>
    <row r="200" spans="1:13" s="2" customFormat="1" x14ac:dyDescent="0.25">
      <c r="A200"/>
      <c r="B200"/>
      <c r="C200"/>
      <c r="D200"/>
      <c r="E200"/>
      <c r="M200"/>
    </row>
    <row r="201" spans="1:13" s="2" customFormat="1" x14ac:dyDescent="0.25">
      <c r="A201"/>
      <c r="B201"/>
      <c r="C201"/>
      <c r="D201"/>
      <c r="E201"/>
      <c r="M201"/>
    </row>
    <row r="202" spans="1:13" s="2" customFormat="1" x14ac:dyDescent="0.25">
      <c r="A202"/>
      <c r="B202"/>
      <c r="C202"/>
      <c r="D202"/>
      <c r="E202"/>
      <c r="M202"/>
    </row>
    <row r="203" spans="1:13" s="2" customFormat="1" x14ac:dyDescent="0.25">
      <c r="A203"/>
      <c r="B203"/>
      <c r="C203"/>
      <c r="D203"/>
      <c r="E203"/>
      <c r="M203"/>
    </row>
    <row r="204" spans="1:13" s="2" customFormat="1" x14ac:dyDescent="0.25">
      <c r="A204"/>
      <c r="B204"/>
      <c r="C204"/>
      <c r="D204"/>
      <c r="E204"/>
      <c r="M204"/>
    </row>
    <row r="205" spans="1:13" s="2" customFormat="1" x14ac:dyDescent="0.25">
      <c r="A205"/>
      <c r="B205"/>
      <c r="C205"/>
      <c r="D205"/>
      <c r="E205"/>
      <c r="M205"/>
    </row>
    <row r="206" spans="1:13" s="2" customFormat="1" x14ac:dyDescent="0.25">
      <c r="A206"/>
      <c r="B206"/>
      <c r="C206"/>
      <c r="D206"/>
      <c r="E206"/>
      <c r="M206"/>
    </row>
    <row r="207" spans="1:13" s="2" customFormat="1" x14ac:dyDescent="0.25">
      <c r="A207"/>
      <c r="B207"/>
      <c r="C207"/>
      <c r="D207"/>
      <c r="E207"/>
      <c r="M207"/>
    </row>
    <row r="208" spans="1:13" s="2" customFormat="1" x14ac:dyDescent="0.25">
      <c r="A208"/>
      <c r="B208"/>
      <c r="C208"/>
      <c r="D208"/>
      <c r="E208"/>
      <c r="M208"/>
    </row>
    <row r="209" spans="1:13" s="2" customFormat="1" x14ac:dyDescent="0.25">
      <c r="A209"/>
      <c r="B209"/>
      <c r="C209"/>
      <c r="D209"/>
      <c r="E209"/>
      <c r="M209"/>
    </row>
    <row r="210" spans="1:13" s="2" customFormat="1" x14ac:dyDescent="0.25">
      <c r="A210"/>
      <c r="B210"/>
      <c r="C210"/>
      <c r="D210"/>
      <c r="E210"/>
      <c r="M210"/>
    </row>
    <row r="211" spans="1:13" s="2" customFormat="1" x14ac:dyDescent="0.25">
      <c r="A211"/>
      <c r="B211"/>
      <c r="C211"/>
      <c r="D211"/>
      <c r="E211"/>
      <c r="M211"/>
    </row>
    <row r="212" spans="1:13" s="2" customFormat="1" x14ac:dyDescent="0.25">
      <c r="A212"/>
      <c r="B212"/>
      <c r="C212"/>
      <c r="D212"/>
      <c r="E212"/>
      <c r="M212"/>
    </row>
    <row r="213" spans="1:13" s="2" customFormat="1" x14ac:dyDescent="0.25">
      <c r="A213"/>
      <c r="B213"/>
      <c r="C213"/>
      <c r="D213"/>
      <c r="E213"/>
      <c r="M213"/>
    </row>
    <row r="214" spans="1:13" s="2" customFormat="1" x14ac:dyDescent="0.25">
      <c r="A214"/>
      <c r="B214"/>
      <c r="C214"/>
      <c r="D214"/>
      <c r="E214"/>
      <c r="M214"/>
    </row>
    <row r="215" spans="1:13" s="2" customFormat="1" x14ac:dyDescent="0.25">
      <c r="A215"/>
      <c r="B215"/>
      <c r="C215"/>
      <c r="D215"/>
      <c r="E215"/>
      <c r="M215"/>
    </row>
    <row r="216" spans="1:13" s="2" customFormat="1" x14ac:dyDescent="0.25">
      <c r="A216"/>
      <c r="B216"/>
      <c r="C216"/>
      <c r="D216"/>
      <c r="E216"/>
      <c r="M216"/>
    </row>
    <row r="217" spans="1:13" s="2" customFormat="1" x14ac:dyDescent="0.25">
      <c r="A217"/>
      <c r="B217"/>
      <c r="C217"/>
      <c r="D217"/>
      <c r="E217"/>
      <c r="M217"/>
    </row>
    <row r="218" spans="1:13" s="2" customFormat="1" x14ac:dyDescent="0.25">
      <c r="A218"/>
      <c r="B218"/>
      <c r="C218"/>
      <c r="D218"/>
      <c r="E218"/>
      <c r="M218"/>
    </row>
    <row r="219" spans="1:13" s="2" customFormat="1" x14ac:dyDescent="0.25">
      <c r="A219"/>
      <c r="B219"/>
      <c r="C219"/>
      <c r="D219"/>
      <c r="E219"/>
      <c r="M219"/>
    </row>
    <row r="220" spans="1:13" s="2" customFormat="1" x14ac:dyDescent="0.25">
      <c r="A220"/>
      <c r="B220"/>
      <c r="C220"/>
      <c r="D220"/>
      <c r="E220"/>
      <c r="M220"/>
    </row>
    <row r="221" spans="1:13" s="2" customFormat="1" x14ac:dyDescent="0.25">
      <c r="A221"/>
      <c r="B221"/>
      <c r="C221"/>
      <c r="D221"/>
      <c r="E221"/>
      <c r="M221"/>
    </row>
    <row r="222" spans="1:13" s="2" customFormat="1" x14ac:dyDescent="0.25">
      <c r="A222"/>
      <c r="B222"/>
      <c r="C222"/>
      <c r="D222"/>
      <c r="E222"/>
      <c r="M222"/>
    </row>
    <row r="223" spans="1:13" s="2" customFormat="1" x14ac:dyDescent="0.25">
      <c r="A223"/>
      <c r="B223"/>
      <c r="C223"/>
      <c r="D223"/>
      <c r="E223"/>
      <c r="M223"/>
    </row>
    <row r="224" spans="1:13" s="2" customFormat="1" x14ac:dyDescent="0.25">
      <c r="A224"/>
      <c r="B224"/>
      <c r="C224"/>
      <c r="D224"/>
      <c r="E224"/>
      <c r="M224"/>
    </row>
    <row r="225" spans="1:13" s="2" customFormat="1" x14ac:dyDescent="0.25">
      <c r="A225"/>
      <c r="B225"/>
      <c r="C225"/>
      <c r="D225"/>
      <c r="E225"/>
      <c r="M225"/>
    </row>
    <row r="226" spans="1:13" s="2" customFormat="1" x14ac:dyDescent="0.25">
      <c r="A226"/>
      <c r="B226"/>
      <c r="C226"/>
      <c r="D226"/>
      <c r="E226"/>
      <c r="M226"/>
    </row>
    <row r="227" spans="1:13" s="2" customFormat="1" x14ac:dyDescent="0.25">
      <c r="A227"/>
      <c r="B227"/>
      <c r="C227"/>
      <c r="D227"/>
      <c r="E227"/>
      <c r="M227"/>
    </row>
    <row r="228" spans="1:13" s="2" customFormat="1" x14ac:dyDescent="0.25">
      <c r="A228"/>
      <c r="B228"/>
      <c r="C228"/>
      <c r="D228"/>
      <c r="E228"/>
      <c r="M228"/>
    </row>
    <row r="229" spans="1:13" s="2" customFormat="1" x14ac:dyDescent="0.25">
      <c r="A229"/>
      <c r="B229"/>
      <c r="C229"/>
      <c r="D229"/>
      <c r="E229"/>
      <c r="M229"/>
    </row>
    <row r="230" spans="1:13" s="2" customFormat="1" x14ac:dyDescent="0.25">
      <c r="A230"/>
      <c r="B230"/>
      <c r="C230"/>
      <c r="D230"/>
      <c r="E230"/>
      <c r="M230"/>
    </row>
    <row r="231" spans="1:13" s="2" customFormat="1" x14ac:dyDescent="0.25">
      <c r="A231"/>
      <c r="B231"/>
      <c r="C231"/>
      <c r="D231"/>
      <c r="E231"/>
      <c r="M231"/>
    </row>
    <row r="232" spans="1:13" s="2" customFormat="1" x14ac:dyDescent="0.25">
      <c r="A232"/>
      <c r="B232"/>
      <c r="C232"/>
      <c r="D232"/>
      <c r="E232"/>
      <c r="M232"/>
    </row>
    <row r="233" spans="1:13" s="2" customFormat="1" x14ac:dyDescent="0.25">
      <c r="A233"/>
      <c r="B233"/>
      <c r="C233"/>
      <c r="D233"/>
      <c r="E233"/>
      <c r="M233"/>
    </row>
    <row r="234" spans="1:13" s="2" customFormat="1" x14ac:dyDescent="0.25">
      <c r="A234"/>
      <c r="B234"/>
      <c r="C234"/>
      <c r="D234"/>
      <c r="E234"/>
      <c r="M234"/>
    </row>
    <row r="235" spans="1:13" s="2" customFormat="1" x14ac:dyDescent="0.25">
      <c r="A235"/>
      <c r="B235"/>
      <c r="C235"/>
      <c r="D235"/>
      <c r="E235"/>
      <c r="M235"/>
    </row>
    <row r="236" spans="1:13" s="2" customFormat="1" x14ac:dyDescent="0.25">
      <c r="A236"/>
      <c r="B236"/>
      <c r="C236"/>
      <c r="D236"/>
      <c r="E236"/>
      <c r="M236"/>
    </row>
    <row r="237" spans="1:13" s="2" customFormat="1" x14ac:dyDescent="0.25">
      <c r="A237"/>
      <c r="B237"/>
      <c r="C237"/>
      <c r="D237"/>
      <c r="E237"/>
      <c r="M237"/>
    </row>
    <row r="238" spans="1:13" s="2" customFormat="1" x14ac:dyDescent="0.25">
      <c r="A238"/>
      <c r="B238"/>
      <c r="C238"/>
      <c r="D238"/>
      <c r="E238"/>
      <c r="M238"/>
    </row>
    <row r="239" spans="1:13" s="2" customFormat="1" x14ac:dyDescent="0.25">
      <c r="A239"/>
      <c r="B239"/>
      <c r="C239"/>
      <c r="D239"/>
      <c r="E239"/>
      <c r="M239"/>
    </row>
    <row r="240" spans="1:13" s="2" customFormat="1" x14ac:dyDescent="0.25">
      <c r="A240"/>
      <c r="B240"/>
      <c r="C240"/>
      <c r="D240"/>
      <c r="E240"/>
      <c r="M240"/>
    </row>
    <row r="241" spans="1:13" s="2" customFormat="1" x14ac:dyDescent="0.25">
      <c r="A241"/>
      <c r="B241"/>
      <c r="C241"/>
      <c r="D241"/>
      <c r="E241"/>
      <c r="M241"/>
    </row>
    <row r="242" spans="1:13" s="2" customFormat="1" x14ac:dyDescent="0.25">
      <c r="A242"/>
      <c r="B242"/>
      <c r="C242"/>
      <c r="D242"/>
      <c r="E242"/>
      <c r="M242"/>
    </row>
    <row r="243" spans="1:13" s="2" customFormat="1" x14ac:dyDescent="0.25">
      <c r="A243"/>
      <c r="B243"/>
      <c r="C243"/>
      <c r="D243"/>
      <c r="E243"/>
      <c r="M243"/>
    </row>
    <row r="244" spans="1:13" s="2" customFormat="1" x14ac:dyDescent="0.25">
      <c r="A244"/>
      <c r="B244"/>
      <c r="C244"/>
      <c r="D244"/>
      <c r="E244"/>
      <c r="M244"/>
    </row>
    <row r="245" spans="1:13" s="2" customFormat="1" x14ac:dyDescent="0.25">
      <c r="A245"/>
      <c r="B245"/>
      <c r="C245"/>
      <c r="D245"/>
      <c r="E245"/>
      <c r="M245"/>
    </row>
    <row r="246" spans="1:13" s="2" customFormat="1" x14ac:dyDescent="0.25">
      <c r="A246"/>
      <c r="B246"/>
      <c r="C246"/>
      <c r="D246"/>
      <c r="E246"/>
      <c r="M246"/>
    </row>
    <row r="247" spans="1:13" s="2" customFormat="1" x14ac:dyDescent="0.25">
      <c r="A247"/>
      <c r="B247"/>
      <c r="C247"/>
      <c r="D247"/>
      <c r="E247"/>
      <c r="M247"/>
    </row>
    <row r="248" spans="1:13" s="2" customFormat="1" x14ac:dyDescent="0.25">
      <c r="A248"/>
      <c r="B248"/>
      <c r="C248"/>
      <c r="D248"/>
      <c r="E248"/>
      <c r="M248"/>
    </row>
    <row r="249" spans="1:13" s="2" customFormat="1" x14ac:dyDescent="0.25">
      <c r="A249"/>
      <c r="B249"/>
      <c r="C249"/>
      <c r="D249"/>
      <c r="E249"/>
      <c r="M249"/>
    </row>
    <row r="250" spans="1:13" s="2" customFormat="1" x14ac:dyDescent="0.25">
      <c r="A250"/>
      <c r="B250"/>
      <c r="C250"/>
      <c r="D250"/>
      <c r="E250"/>
      <c r="M250"/>
    </row>
    <row r="251" spans="1:13" s="2" customFormat="1" x14ac:dyDescent="0.25">
      <c r="A251"/>
      <c r="B251"/>
      <c r="C251"/>
      <c r="D251"/>
      <c r="E251"/>
      <c r="M251"/>
    </row>
    <row r="252" spans="1:13" s="2" customFormat="1" x14ac:dyDescent="0.25">
      <c r="A252"/>
      <c r="B252"/>
      <c r="C252"/>
      <c r="D252"/>
      <c r="E252"/>
      <c r="M252"/>
    </row>
    <row r="253" spans="1:13" s="2" customFormat="1" x14ac:dyDescent="0.25">
      <c r="A253"/>
      <c r="B253"/>
      <c r="C253"/>
      <c r="D253"/>
      <c r="E253"/>
      <c r="M253"/>
    </row>
    <row r="254" spans="1:13" s="2" customFormat="1" x14ac:dyDescent="0.25">
      <c r="A254"/>
      <c r="B254"/>
      <c r="C254"/>
      <c r="D254"/>
      <c r="E254"/>
      <c r="M254"/>
    </row>
    <row r="255" spans="1:13" s="2" customFormat="1" x14ac:dyDescent="0.25">
      <c r="A255"/>
      <c r="B255"/>
      <c r="C255"/>
      <c r="D255"/>
      <c r="E255"/>
      <c r="M255"/>
    </row>
    <row r="256" spans="1:13" s="2" customFormat="1" x14ac:dyDescent="0.25">
      <c r="A256"/>
      <c r="B256"/>
      <c r="C256"/>
      <c r="D256"/>
      <c r="E256"/>
      <c r="M256"/>
    </row>
    <row r="257" spans="1:13" s="2" customFormat="1" x14ac:dyDescent="0.25">
      <c r="A257"/>
      <c r="B257"/>
      <c r="C257"/>
      <c r="D257"/>
      <c r="E257"/>
      <c r="M257"/>
    </row>
    <row r="258" spans="1:13" s="2" customFormat="1" x14ac:dyDescent="0.25">
      <c r="A258"/>
      <c r="B258"/>
      <c r="C258"/>
      <c r="D258"/>
      <c r="E258"/>
      <c r="M258"/>
    </row>
    <row r="259" spans="1:13" s="2" customFormat="1" x14ac:dyDescent="0.25">
      <c r="A259"/>
      <c r="B259"/>
      <c r="C259"/>
      <c r="D259"/>
      <c r="E259"/>
      <c r="M259"/>
    </row>
    <row r="260" spans="1:13" s="2" customFormat="1" x14ac:dyDescent="0.25">
      <c r="A260"/>
      <c r="B260"/>
      <c r="C260"/>
      <c r="D260"/>
      <c r="E260"/>
      <c r="M260"/>
    </row>
    <row r="261" spans="1:13" s="2" customFormat="1" x14ac:dyDescent="0.25">
      <c r="A261"/>
      <c r="B261"/>
      <c r="C261"/>
      <c r="D261"/>
      <c r="E261"/>
      <c r="M261"/>
    </row>
    <row r="262" spans="1:13" s="2" customFormat="1" x14ac:dyDescent="0.25">
      <c r="A262"/>
      <c r="B262"/>
      <c r="C262"/>
      <c r="D262"/>
      <c r="E262"/>
      <c r="M262"/>
    </row>
    <row r="263" spans="1:13" s="2" customFormat="1" x14ac:dyDescent="0.25">
      <c r="A263"/>
      <c r="B263"/>
      <c r="C263"/>
      <c r="D263"/>
      <c r="E263"/>
      <c r="M263"/>
    </row>
    <row r="264" spans="1:13" s="2" customFormat="1" x14ac:dyDescent="0.25">
      <c r="A264"/>
      <c r="B264"/>
      <c r="C264"/>
      <c r="D264"/>
      <c r="E264"/>
      <c r="M264"/>
    </row>
    <row r="265" spans="1:13" s="2" customFormat="1" x14ac:dyDescent="0.25">
      <c r="A265"/>
      <c r="B265"/>
      <c r="C265"/>
      <c r="D265"/>
      <c r="E265"/>
      <c r="M265"/>
    </row>
    <row r="266" spans="1:13" s="2" customFormat="1" x14ac:dyDescent="0.25">
      <c r="A266"/>
      <c r="B266"/>
      <c r="C266"/>
      <c r="D266"/>
      <c r="E266"/>
      <c r="M266"/>
    </row>
    <row r="267" spans="1:13" s="2" customFormat="1" x14ac:dyDescent="0.25">
      <c r="A267"/>
      <c r="B267"/>
      <c r="C267"/>
      <c r="D267"/>
      <c r="E267"/>
      <c r="M267"/>
    </row>
    <row r="268" spans="1:13" s="2" customFormat="1" x14ac:dyDescent="0.25">
      <c r="A268"/>
      <c r="B268"/>
      <c r="C268"/>
      <c r="D268"/>
      <c r="E268"/>
      <c r="M268"/>
    </row>
    <row r="269" spans="1:13" s="2" customFormat="1" x14ac:dyDescent="0.25">
      <c r="A269"/>
      <c r="B269"/>
      <c r="C269"/>
      <c r="D269"/>
      <c r="E269"/>
      <c r="M269"/>
    </row>
    <row r="270" spans="1:13" s="2" customFormat="1" x14ac:dyDescent="0.25">
      <c r="A270"/>
      <c r="B270"/>
      <c r="C270"/>
      <c r="D270"/>
      <c r="E270"/>
      <c r="M270"/>
    </row>
    <row r="271" spans="1:13" s="2" customFormat="1" x14ac:dyDescent="0.25">
      <c r="A271"/>
      <c r="B271"/>
      <c r="C271"/>
      <c r="D271"/>
      <c r="E271"/>
      <c r="M271"/>
    </row>
    <row r="272" spans="1:13" s="2" customFormat="1" x14ac:dyDescent="0.25">
      <c r="A272"/>
      <c r="B272"/>
      <c r="C272"/>
      <c r="D272"/>
      <c r="E272"/>
      <c r="M272"/>
    </row>
    <row r="273" spans="1:13" s="2" customFormat="1" x14ac:dyDescent="0.25">
      <c r="A273"/>
      <c r="B273"/>
      <c r="C273"/>
      <c r="D273"/>
      <c r="E273"/>
      <c r="M273"/>
    </row>
    <row r="274" spans="1:13" s="2" customFormat="1" x14ac:dyDescent="0.25">
      <c r="A274"/>
      <c r="B274"/>
      <c r="C274"/>
      <c r="D274"/>
      <c r="E274"/>
      <c r="M274"/>
    </row>
    <row r="275" spans="1:13" s="2" customFormat="1" x14ac:dyDescent="0.25">
      <c r="A275"/>
      <c r="B275"/>
      <c r="C275"/>
      <c r="D275"/>
      <c r="E275"/>
      <c r="M275"/>
    </row>
    <row r="276" spans="1:13" s="2" customFormat="1" x14ac:dyDescent="0.25">
      <c r="A276"/>
      <c r="B276"/>
      <c r="C276"/>
      <c r="D276"/>
      <c r="E276"/>
      <c r="M276"/>
    </row>
    <row r="277" spans="1:13" s="2" customFormat="1" x14ac:dyDescent="0.25">
      <c r="A277"/>
      <c r="B277"/>
      <c r="C277"/>
      <c r="D277"/>
      <c r="E277"/>
      <c r="M277"/>
    </row>
    <row r="278" spans="1:13" s="2" customFormat="1" x14ac:dyDescent="0.25">
      <c r="A278"/>
      <c r="B278"/>
      <c r="C278"/>
      <c r="D278"/>
      <c r="E278"/>
      <c r="M278"/>
    </row>
    <row r="279" spans="1:13" s="2" customFormat="1" x14ac:dyDescent="0.25">
      <c r="A279"/>
      <c r="B279"/>
      <c r="C279"/>
      <c r="D279"/>
      <c r="E279"/>
      <c r="M279"/>
    </row>
    <row r="280" spans="1:13" s="2" customFormat="1" x14ac:dyDescent="0.25">
      <c r="A280"/>
      <c r="B280"/>
      <c r="C280"/>
      <c r="D280"/>
      <c r="E280"/>
      <c r="M280"/>
    </row>
    <row r="281" spans="1:13" s="2" customFormat="1" x14ac:dyDescent="0.25">
      <c r="A281"/>
      <c r="B281"/>
      <c r="C281"/>
      <c r="D281"/>
      <c r="E281"/>
      <c r="M281"/>
    </row>
    <row r="282" spans="1:13" s="2" customFormat="1" x14ac:dyDescent="0.25">
      <c r="A282"/>
      <c r="B282"/>
      <c r="C282"/>
      <c r="D282"/>
      <c r="E282"/>
      <c r="M282"/>
    </row>
    <row r="283" spans="1:13" s="2" customFormat="1" x14ac:dyDescent="0.25">
      <c r="A283"/>
      <c r="B283"/>
      <c r="C283"/>
      <c r="D283"/>
      <c r="E283"/>
      <c r="M283"/>
    </row>
    <row r="284" spans="1:13" s="2" customFormat="1" x14ac:dyDescent="0.25">
      <c r="A284"/>
      <c r="B284"/>
      <c r="C284"/>
      <c r="D284"/>
      <c r="E284"/>
      <c r="M284"/>
    </row>
    <row r="285" spans="1:13" s="2" customFormat="1" x14ac:dyDescent="0.25">
      <c r="A285"/>
      <c r="B285"/>
      <c r="C285"/>
      <c r="D285"/>
      <c r="E285"/>
      <c r="M285"/>
    </row>
    <row r="286" spans="1:13" s="2" customFormat="1" x14ac:dyDescent="0.25">
      <c r="A286"/>
      <c r="B286"/>
      <c r="C286"/>
      <c r="D286"/>
      <c r="E286"/>
      <c r="M286"/>
    </row>
    <row r="287" spans="1:13" s="2" customFormat="1" x14ac:dyDescent="0.25">
      <c r="A287"/>
      <c r="B287"/>
      <c r="C287"/>
      <c r="D287"/>
      <c r="E287"/>
      <c r="M287"/>
    </row>
    <row r="288" spans="1:13" s="2" customFormat="1" x14ac:dyDescent="0.25">
      <c r="A288"/>
      <c r="B288"/>
      <c r="C288"/>
      <c r="D288"/>
      <c r="E288"/>
      <c r="M288"/>
    </row>
    <row r="289" spans="1:13" s="2" customFormat="1" x14ac:dyDescent="0.25">
      <c r="A289"/>
      <c r="B289"/>
      <c r="C289"/>
      <c r="D289"/>
      <c r="E289"/>
      <c r="M289"/>
    </row>
    <row r="290" spans="1:13" s="2" customFormat="1" x14ac:dyDescent="0.25">
      <c r="A290"/>
      <c r="B290"/>
      <c r="C290"/>
      <c r="D290"/>
      <c r="E290"/>
      <c r="M290"/>
    </row>
    <row r="291" spans="1:13" s="2" customFormat="1" x14ac:dyDescent="0.25">
      <c r="A291"/>
      <c r="B291"/>
      <c r="C291"/>
      <c r="D291"/>
      <c r="E291"/>
      <c r="M291"/>
    </row>
    <row r="292" spans="1:13" s="2" customFormat="1" x14ac:dyDescent="0.25">
      <c r="A292"/>
      <c r="B292"/>
      <c r="C292"/>
      <c r="D292"/>
      <c r="E292"/>
      <c r="M292"/>
    </row>
    <row r="293" spans="1:13" s="2" customFormat="1" x14ac:dyDescent="0.25">
      <c r="A293"/>
      <c r="B293"/>
      <c r="C293"/>
      <c r="D293"/>
      <c r="E293"/>
      <c r="M293"/>
    </row>
    <row r="294" spans="1:13" s="2" customFormat="1" x14ac:dyDescent="0.25">
      <c r="A294"/>
      <c r="B294"/>
      <c r="C294"/>
      <c r="D294"/>
      <c r="E294"/>
      <c r="M294"/>
    </row>
    <row r="295" spans="1:13" s="2" customFormat="1" x14ac:dyDescent="0.25">
      <c r="A295"/>
      <c r="B295"/>
      <c r="C295"/>
      <c r="D295"/>
      <c r="E295"/>
      <c r="M295"/>
    </row>
    <row r="296" spans="1:13" s="2" customFormat="1" x14ac:dyDescent="0.25">
      <c r="A296"/>
      <c r="B296"/>
      <c r="C296"/>
      <c r="D296"/>
      <c r="E296"/>
      <c r="M296"/>
    </row>
    <row r="297" spans="1:13" s="2" customFormat="1" x14ac:dyDescent="0.25">
      <c r="A297"/>
      <c r="B297"/>
      <c r="C297"/>
      <c r="D297"/>
      <c r="E297"/>
      <c r="M297"/>
    </row>
    <row r="298" spans="1:13" s="2" customFormat="1" x14ac:dyDescent="0.25">
      <c r="A298"/>
      <c r="B298"/>
      <c r="C298"/>
      <c r="D298"/>
      <c r="E298"/>
      <c r="M298"/>
    </row>
    <row r="299" spans="1:13" s="2" customFormat="1" x14ac:dyDescent="0.25">
      <c r="A299"/>
      <c r="B299"/>
      <c r="C299"/>
      <c r="D299"/>
      <c r="E299"/>
      <c r="M299"/>
    </row>
    <row r="300" spans="1:13" s="2" customFormat="1" x14ac:dyDescent="0.25">
      <c r="A300"/>
      <c r="B300"/>
      <c r="C300"/>
      <c r="D300"/>
      <c r="E300"/>
      <c r="M300"/>
    </row>
    <row r="301" spans="1:13" s="2" customFormat="1" x14ac:dyDescent="0.25">
      <c r="A301"/>
      <c r="B301"/>
      <c r="C301"/>
      <c r="D301"/>
      <c r="E301"/>
      <c r="M301"/>
    </row>
    <row r="302" spans="1:13" s="2" customFormat="1" x14ac:dyDescent="0.25">
      <c r="A302"/>
      <c r="B302"/>
      <c r="C302"/>
      <c r="D302"/>
      <c r="E302"/>
      <c r="M302"/>
    </row>
    <row r="303" spans="1:13" s="2" customFormat="1" x14ac:dyDescent="0.25">
      <c r="A303"/>
      <c r="B303"/>
      <c r="C303"/>
      <c r="D303"/>
      <c r="E303"/>
      <c r="M303"/>
    </row>
    <row r="304" spans="1:13" s="2" customFormat="1" x14ac:dyDescent="0.25">
      <c r="A304"/>
      <c r="B304"/>
      <c r="C304"/>
      <c r="D304"/>
      <c r="E304"/>
      <c r="M304"/>
    </row>
    <row r="305" spans="1:13" s="2" customFormat="1" x14ac:dyDescent="0.25">
      <c r="A305"/>
      <c r="B305"/>
      <c r="C305"/>
      <c r="D305"/>
      <c r="E305"/>
      <c r="M305"/>
    </row>
    <row r="306" spans="1:13" s="2" customFormat="1" x14ac:dyDescent="0.25">
      <c r="A306"/>
      <c r="B306"/>
      <c r="C306"/>
      <c r="D306"/>
      <c r="E306"/>
      <c r="M306"/>
    </row>
    <row r="307" spans="1:13" s="2" customFormat="1" x14ac:dyDescent="0.25">
      <c r="A307"/>
      <c r="B307"/>
      <c r="C307"/>
      <c r="D307"/>
      <c r="E307"/>
      <c r="M307"/>
    </row>
    <row r="308" spans="1:13" s="2" customFormat="1" x14ac:dyDescent="0.25">
      <c r="A308"/>
      <c r="B308"/>
      <c r="C308"/>
      <c r="D308"/>
      <c r="E308"/>
      <c r="M308"/>
    </row>
    <row r="309" spans="1:13" s="2" customFormat="1" x14ac:dyDescent="0.25">
      <c r="A309"/>
      <c r="B309"/>
      <c r="C309"/>
      <c r="D309"/>
      <c r="E309"/>
      <c r="M309"/>
    </row>
    <row r="310" spans="1:13" s="2" customFormat="1" x14ac:dyDescent="0.25">
      <c r="A310"/>
      <c r="B310"/>
      <c r="C310"/>
      <c r="D310"/>
      <c r="E310"/>
      <c r="M310"/>
    </row>
    <row r="311" spans="1:13" s="2" customFormat="1" x14ac:dyDescent="0.25">
      <c r="A311"/>
      <c r="B311"/>
      <c r="C311"/>
      <c r="D311"/>
      <c r="E311"/>
      <c r="M311"/>
    </row>
    <row r="312" spans="1:13" s="2" customFormat="1" x14ac:dyDescent="0.25">
      <c r="A312"/>
      <c r="B312"/>
      <c r="C312"/>
      <c r="D312"/>
      <c r="E312"/>
      <c r="M312"/>
    </row>
    <row r="313" spans="1:13" s="2" customFormat="1" x14ac:dyDescent="0.25">
      <c r="A313"/>
      <c r="B313"/>
      <c r="C313"/>
      <c r="D313"/>
      <c r="E313"/>
      <c r="M313"/>
    </row>
    <row r="314" spans="1:13" s="2" customFormat="1" x14ac:dyDescent="0.25">
      <c r="A314"/>
      <c r="B314"/>
      <c r="C314"/>
      <c r="D314"/>
      <c r="E314"/>
      <c r="M314"/>
    </row>
    <row r="315" spans="1:13" s="2" customFormat="1" x14ac:dyDescent="0.25">
      <c r="A315"/>
      <c r="B315"/>
      <c r="C315"/>
      <c r="D315"/>
      <c r="E315"/>
      <c r="M315"/>
    </row>
    <row r="316" spans="1:13" s="2" customFormat="1" x14ac:dyDescent="0.25">
      <c r="A316"/>
      <c r="B316"/>
      <c r="C316"/>
      <c r="D316"/>
      <c r="E316"/>
      <c r="M316"/>
    </row>
    <row r="317" spans="1:13" s="2" customFormat="1" x14ac:dyDescent="0.25">
      <c r="A317"/>
      <c r="B317"/>
      <c r="C317"/>
      <c r="D317"/>
      <c r="E317"/>
      <c r="M317"/>
    </row>
    <row r="318" spans="1:13" s="2" customFormat="1" x14ac:dyDescent="0.25">
      <c r="A318"/>
      <c r="B318"/>
      <c r="C318"/>
      <c r="D318"/>
      <c r="E318"/>
      <c r="M318"/>
    </row>
    <row r="319" spans="1:13" s="2" customFormat="1" x14ac:dyDescent="0.25">
      <c r="A319"/>
      <c r="B319"/>
      <c r="C319"/>
      <c r="D319"/>
      <c r="E319"/>
      <c r="M319"/>
    </row>
    <row r="320" spans="1:13" s="2" customFormat="1" x14ac:dyDescent="0.25">
      <c r="A320"/>
      <c r="B320"/>
      <c r="C320"/>
      <c r="D320"/>
      <c r="E320"/>
      <c r="M320"/>
    </row>
    <row r="321" spans="1:13" s="2" customFormat="1" x14ac:dyDescent="0.25">
      <c r="A321"/>
      <c r="B321"/>
      <c r="C321"/>
      <c r="D321"/>
      <c r="E321"/>
      <c r="M321"/>
    </row>
    <row r="322" spans="1:13" s="2" customFormat="1" x14ac:dyDescent="0.25">
      <c r="A322"/>
      <c r="B322"/>
      <c r="C322"/>
      <c r="D322"/>
      <c r="E322"/>
      <c r="M322"/>
    </row>
    <row r="323" spans="1:13" s="2" customFormat="1" x14ac:dyDescent="0.25">
      <c r="A323"/>
      <c r="B323"/>
      <c r="C323"/>
      <c r="D323"/>
      <c r="E323"/>
      <c r="M323"/>
    </row>
    <row r="324" spans="1:13" s="2" customFormat="1" x14ac:dyDescent="0.25">
      <c r="A324"/>
      <c r="B324"/>
      <c r="C324"/>
      <c r="D324"/>
      <c r="E324"/>
      <c r="M324"/>
    </row>
    <row r="325" spans="1:13" s="2" customFormat="1" x14ac:dyDescent="0.25">
      <c r="A325"/>
      <c r="B325"/>
      <c r="C325"/>
      <c r="D325"/>
      <c r="E325"/>
      <c r="M325"/>
    </row>
    <row r="326" spans="1:13" s="2" customFormat="1" x14ac:dyDescent="0.25">
      <c r="A326"/>
      <c r="B326"/>
      <c r="C326"/>
      <c r="D326"/>
      <c r="E326"/>
      <c r="M326"/>
    </row>
    <row r="327" spans="1:13" s="2" customFormat="1" x14ac:dyDescent="0.25">
      <c r="A327"/>
      <c r="B327"/>
      <c r="C327"/>
      <c r="D327"/>
      <c r="E327"/>
      <c r="M327"/>
    </row>
    <row r="328" spans="1:13" s="2" customFormat="1" x14ac:dyDescent="0.25">
      <c r="A328"/>
      <c r="B328"/>
      <c r="C328"/>
      <c r="D328"/>
      <c r="E328"/>
      <c r="M328"/>
    </row>
    <row r="329" spans="1:13" s="2" customFormat="1" x14ac:dyDescent="0.25">
      <c r="A329"/>
      <c r="B329"/>
      <c r="C329"/>
      <c r="D329"/>
      <c r="E329"/>
      <c r="M329"/>
    </row>
    <row r="330" spans="1:13" s="2" customFormat="1" x14ac:dyDescent="0.25">
      <c r="A330"/>
      <c r="B330"/>
      <c r="C330"/>
      <c r="D330"/>
      <c r="E330"/>
      <c r="M330"/>
    </row>
    <row r="331" spans="1:13" s="2" customFormat="1" x14ac:dyDescent="0.25">
      <c r="A331"/>
      <c r="B331"/>
      <c r="C331"/>
      <c r="D331"/>
      <c r="E331"/>
      <c r="M331"/>
    </row>
    <row r="332" spans="1:13" s="2" customFormat="1" x14ac:dyDescent="0.25">
      <c r="A332"/>
      <c r="B332"/>
      <c r="C332"/>
      <c r="D332"/>
      <c r="E332"/>
      <c r="M332"/>
    </row>
    <row r="333" spans="1:13" s="2" customFormat="1" x14ac:dyDescent="0.25">
      <c r="A333"/>
      <c r="B333"/>
      <c r="C333"/>
      <c r="D333"/>
      <c r="E333"/>
      <c r="M333"/>
    </row>
    <row r="334" spans="1:13" s="2" customFormat="1" x14ac:dyDescent="0.25">
      <c r="A334"/>
      <c r="B334"/>
      <c r="C334"/>
      <c r="D334"/>
      <c r="E334"/>
      <c r="M334"/>
    </row>
    <row r="335" spans="1:13" s="2" customFormat="1" x14ac:dyDescent="0.25">
      <c r="A335"/>
      <c r="B335"/>
      <c r="C335"/>
      <c r="D335"/>
      <c r="E335"/>
      <c r="M335"/>
    </row>
    <row r="336" spans="1:13" s="2" customFormat="1" x14ac:dyDescent="0.25">
      <c r="A336"/>
      <c r="B336"/>
      <c r="C336"/>
      <c r="D336"/>
      <c r="E336"/>
      <c r="M336"/>
    </row>
    <row r="337" spans="1:13" s="2" customFormat="1" x14ac:dyDescent="0.25">
      <c r="A337"/>
      <c r="B337"/>
      <c r="C337"/>
      <c r="D337"/>
      <c r="E337"/>
      <c r="M337"/>
    </row>
    <row r="338" spans="1:13" s="2" customFormat="1" x14ac:dyDescent="0.25">
      <c r="A338"/>
      <c r="B338"/>
      <c r="C338"/>
      <c r="D338"/>
      <c r="E338"/>
      <c r="M338"/>
    </row>
    <row r="339" spans="1:13" s="2" customFormat="1" x14ac:dyDescent="0.25">
      <c r="A339"/>
      <c r="B339"/>
      <c r="C339"/>
      <c r="D339"/>
      <c r="E339"/>
      <c r="M339"/>
    </row>
    <row r="340" spans="1:13" s="2" customFormat="1" x14ac:dyDescent="0.25">
      <c r="A340"/>
      <c r="B340"/>
      <c r="C340"/>
      <c r="D340"/>
      <c r="E340"/>
      <c r="M340"/>
    </row>
    <row r="341" spans="1:13" s="2" customFormat="1" x14ac:dyDescent="0.25">
      <c r="A341"/>
      <c r="B341"/>
      <c r="C341"/>
      <c r="D341"/>
      <c r="E341"/>
      <c r="M341"/>
    </row>
    <row r="342" spans="1:13" s="2" customFormat="1" x14ac:dyDescent="0.25">
      <c r="A342"/>
      <c r="B342"/>
      <c r="C342"/>
      <c r="D342"/>
      <c r="E342"/>
      <c r="M342"/>
    </row>
    <row r="343" spans="1:13" s="2" customFormat="1" x14ac:dyDescent="0.25">
      <c r="A343"/>
      <c r="B343"/>
      <c r="C343"/>
      <c r="D343"/>
      <c r="E343"/>
      <c r="M343"/>
    </row>
    <row r="344" spans="1:13" s="2" customFormat="1" x14ac:dyDescent="0.25">
      <c r="A344"/>
      <c r="B344"/>
      <c r="C344"/>
      <c r="D344"/>
      <c r="E344"/>
      <c r="M344"/>
    </row>
    <row r="345" spans="1:13" s="2" customFormat="1" x14ac:dyDescent="0.25">
      <c r="A345"/>
      <c r="B345"/>
      <c r="C345"/>
      <c r="D345"/>
      <c r="E345"/>
      <c r="M345"/>
    </row>
    <row r="346" spans="1:13" s="2" customFormat="1" x14ac:dyDescent="0.25">
      <c r="A346"/>
      <c r="B346"/>
      <c r="C346"/>
      <c r="D346"/>
      <c r="E346"/>
      <c r="M346"/>
    </row>
    <row r="347" spans="1:13" s="2" customFormat="1" x14ac:dyDescent="0.25">
      <c r="A347"/>
      <c r="B347"/>
      <c r="C347"/>
      <c r="D347"/>
      <c r="E347"/>
      <c r="M347"/>
    </row>
    <row r="348" spans="1:13" s="2" customFormat="1" x14ac:dyDescent="0.25">
      <c r="A348"/>
      <c r="B348"/>
      <c r="C348"/>
      <c r="D348"/>
      <c r="E348"/>
      <c r="M348"/>
    </row>
    <row r="349" spans="1:13" s="2" customFormat="1" x14ac:dyDescent="0.25">
      <c r="A349"/>
      <c r="B349"/>
      <c r="C349"/>
      <c r="D349"/>
      <c r="E349"/>
      <c r="M349"/>
    </row>
    <row r="350" spans="1:13" s="2" customFormat="1" x14ac:dyDescent="0.25">
      <c r="A350"/>
      <c r="B350"/>
      <c r="C350"/>
      <c r="D350"/>
      <c r="E350"/>
      <c r="M350"/>
    </row>
    <row r="351" spans="1:13" s="2" customFormat="1" x14ac:dyDescent="0.25">
      <c r="A351"/>
      <c r="B351"/>
      <c r="C351"/>
      <c r="D351"/>
      <c r="E351"/>
      <c r="M351"/>
    </row>
    <row r="352" spans="1:13" s="2" customFormat="1" x14ac:dyDescent="0.25">
      <c r="A352"/>
      <c r="B352"/>
      <c r="C352"/>
      <c r="D352"/>
      <c r="E352"/>
      <c r="M352"/>
    </row>
    <row r="353" spans="1:13" s="2" customFormat="1" x14ac:dyDescent="0.25">
      <c r="A353"/>
      <c r="B353"/>
      <c r="C353"/>
      <c r="D353"/>
      <c r="E353"/>
      <c r="M353"/>
    </row>
    <row r="354" spans="1:13" s="2" customFormat="1" x14ac:dyDescent="0.25">
      <c r="A354"/>
      <c r="B354"/>
      <c r="C354"/>
      <c r="D354"/>
      <c r="E354"/>
      <c r="M354"/>
    </row>
    <row r="355" spans="1:13" s="2" customFormat="1" x14ac:dyDescent="0.25">
      <c r="A355"/>
      <c r="B355"/>
      <c r="C355"/>
      <c r="D355"/>
      <c r="E355"/>
      <c r="M355"/>
    </row>
    <row r="356" spans="1:13" s="2" customFormat="1" x14ac:dyDescent="0.25">
      <c r="A356"/>
      <c r="B356"/>
      <c r="C356"/>
      <c r="D356"/>
      <c r="E356"/>
      <c r="M356"/>
    </row>
    <row r="357" spans="1:13" s="2" customFormat="1" x14ac:dyDescent="0.25">
      <c r="A357"/>
      <c r="B357"/>
      <c r="C357"/>
      <c r="D357"/>
      <c r="E357"/>
      <c r="M357"/>
    </row>
    <row r="358" spans="1:13" s="2" customFormat="1" x14ac:dyDescent="0.25">
      <c r="A358"/>
      <c r="B358"/>
      <c r="C358"/>
      <c r="D358"/>
      <c r="E358"/>
      <c r="M358"/>
    </row>
    <row r="359" spans="1:13" s="2" customFormat="1" x14ac:dyDescent="0.25">
      <c r="A359"/>
      <c r="B359"/>
      <c r="C359"/>
      <c r="D359"/>
      <c r="E359"/>
      <c r="M359"/>
    </row>
    <row r="360" spans="1:13" s="2" customFormat="1" x14ac:dyDescent="0.25">
      <c r="A360"/>
      <c r="B360"/>
      <c r="C360"/>
      <c r="D360"/>
      <c r="E360"/>
      <c r="M360"/>
    </row>
    <row r="361" spans="1:13" s="2" customFormat="1" x14ac:dyDescent="0.25">
      <c r="A361"/>
      <c r="B361"/>
      <c r="C361"/>
      <c r="D361"/>
      <c r="E361"/>
      <c r="M361"/>
    </row>
    <row r="362" spans="1:13" s="2" customFormat="1" x14ac:dyDescent="0.25">
      <c r="A362"/>
      <c r="B362"/>
      <c r="C362"/>
      <c r="D362"/>
      <c r="E362"/>
      <c r="M362"/>
    </row>
    <row r="363" spans="1:13" s="2" customFormat="1" x14ac:dyDescent="0.25">
      <c r="A363"/>
      <c r="B363"/>
      <c r="C363"/>
      <c r="D363"/>
      <c r="E363"/>
      <c r="M363"/>
    </row>
    <row r="364" spans="1:13" s="2" customFormat="1" x14ac:dyDescent="0.25">
      <c r="A364"/>
      <c r="B364"/>
      <c r="C364"/>
      <c r="D364"/>
      <c r="E364"/>
      <c r="M364"/>
    </row>
    <row r="365" spans="1:13" s="2" customFormat="1" x14ac:dyDescent="0.25">
      <c r="A365"/>
      <c r="B365"/>
      <c r="C365"/>
      <c r="D365"/>
      <c r="E365"/>
      <c r="M365"/>
    </row>
    <row r="366" spans="1:13" s="2" customFormat="1" x14ac:dyDescent="0.25">
      <c r="A366"/>
      <c r="B366"/>
      <c r="C366"/>
      <c r="D366"/>
      <c r="E366"/>
      <c r="M366"/>
    </row>
    <row r="367" spans="1:13" s="2" customFormat="1" x14ac:dyDescent="0.25">
      <c r="A367"/>
      <c r="B367"/>
      <c r="C367"/>
      <c r="D367"/>
      <c r="E367"/>
      <c r="M367"/>
    </row>
    <row r="368" spans="1:13" s="2" customFormat="1" x14ac:dyDescent="0.25">
      <c r="A368"/>
      <c r="B368"/>
      <c r="C368"/>
      <c r="D368"/>
      <c r="E368"/>
      <c r="M368"/>
    </row>
    <row r="369" spans="1:13" s="2" customFormat="1" x14ac:dyDescent="0.25">
      <c r="A369"/>
      <c r="B369"/>
      <c r="C369"/>
      <c r="D369"/>
      <c r="E369"/>
      <c r="M369"/>
    </row>
    <row r="370" spans="1:13" s="2" customFormat="1" x14ac:dyDescent="0.25">
      <c r="A370"/>
      <c r="B370"/>
      <c r="C370"/>
      <c r="D370"/>
      <c r="E370"/>
      <c r="M370"/>
    </row>
    <row r="371" spans="1:13" s="2" customFormat="1" x14ac:dyDescent="0.25">
      <c r="A371"/>
      <c r="B371"/>
      <c r="C371"/>
      <c r="D371"/>
      <c r="E371"/>
      <c r="M371"/>
    </row>
    <row r="372" spans="1:13" s="2" customFormat="1" x14ac:dyDescent="0.25">
      <c r="A372"/>
      <c r="B372"/>
      <c r="C372"/>
      <c r="D372"/>
      <c r="E372"/>
      <c r="M372"/>
    </row>
    <row r="373" spans="1:13" s="2" customFormat="1" x14ac:dyDescent="0.25">
      <c r="A373"/>
      <c r="B373"/>
      <c r="C373"/>
      <c r="D373"/>
      <c r="E373"/>
      <c r="M373"/>
    </row>
    <row r="374" spans="1:13" s="2" customFormat="1" x14ac:dyDescent="0.25">
      <c r="A374"/>
      <c r="B374"/>
      <c r="C374"/>
      <c r="D374"/>
      <c r="E374"/>
      <c r="M374"/>
    </row>
    <row r="375" spans="1:13" s="2" customFormat="1" x14ac:dyDescent="0.25">
      <c r="A375"/>
      <c r="B375"/>
      <c r="C375"/>
      <c r="D375"/>
      <c r="E375"/>
      <c r="M375"/>
    </row>
    <row r="376" spans="1:13" s="2" customFormat="1" x14ac:dyDescent="0.25">
      <c r="A376"/>
      <c r="B376"/>
      <c r="C376"/>
      <c r="D376"/>
      <c r="E376"/>
      <c r="M376"/>
    </row>
    <row r="377" spans="1:13" s="2" customFormat="1" x14ac:dyDescent="0.25">
      <c r="A377"/>
      <c r="B377"/>
      <c r="C377"/>
      <c r="D377"/>
      <c r="E377"/>
      <c r="M377"/>
    </row>
    <row r="378" spans="1:13" s="2" customFormat="1" x14ac:dyDescent="0.25">
      <c r="A378"/>
      <c r="B378"/>
      <c r="C378"/>
      <c r="D378"/>
      <c r="E378"/>
      <c r="M378"/>
    </row>
    <row r="379" spans="1:13" s="2" customFormat="1" x14ac:dyDescent="0.25">
      <c r="A379"/>
      <c r="B379"/>
      <c r="C379"/>
      <c r="D379"/>
      <c r="E379"/>
      <c r="M379"/>
    </row>
    <row r="380" spans="1:13" s="2" customFormat="1" x14ac:dyDescent="0.25">
      <c r="A380"/>
      <c r="B380"/>
      <c r="C380"/>
      <c r="D380"/>
      <c r="E380"/>
      <c r="M380"/>
    </row>
    <row r="381" spans="1:13" s="2" customFormat="1" x14ac:dyDescent="0.25">
      <c r="A381"/>
      <c r="B381"/>
      <c r="C381"/>
      <c r="D381"/>
      <c r="E381"/>
      <c r="M381"/>
    </row>
    <row r="382" spans="1:13" s="2" customFormat="1" x14ac:dyDescent="0.25">
      <c r="A382"/>
      <c r="B382"/>
      <c r="C382"/>
      <c r="D382"/>
      <c r="E382"/>
      <c r="M382"/>
    </row>
    <row r="383" spans="1:13" s="2" customFormat="1" x14ac:dyDescent="0.25">
      <c r="A383"/>
      <c r="B383"/>
      <c r="C383"/>
      <c r="D383"/>
      <c r="E383"/>
      <c r="M383"/>
    </row>
    <row r="384" spans="1:13" s="2" customFormat="1" x14ac:dyDescent="0.25">
      <c r="A384"/>
      <c r="B384"/>
      <c r="C384"/>
      <c r="D384"/>
      <c r="E384"/>
      <c r="M384"/>
    </row>
    <row r="385" spans="1:13" s="2" customFormat="1" x14ac:dyDescent="0.25">
      <c r="A385"/>
      <c r="B385"/>
      <c r="C385"/>
      <c r="D385"/>
      <c r="E385"/>
      <c r="M385"/>
    </row>
    <row r="386" spans="1:13" s="2" customFormat="1" x14ac:dyDescent="0.25">
      <c r="A386"/>
      <c r="B386"/>
      <c r="C386"/>
      <c r="D386"/>
      <c r="E386"/>
      <c r="M386"/>
    </row>
    <row r="387" spans="1:13" s="2" customFormat="1" x14ac:dyDescent="0.25">
      <c r="A387"/>
      <c r="B387"/>
      <c r="C387"/>
      <c r="D387"/>
      <c r="E387"/>
      <c r="M387"/>
    </row>
    <row r="388" spans="1:13" x14ac:dyDescent="0.25">
      <c r="I388" s="2"/>
    </row>
    <row r="389" spans="1:13" x14ac:dyDescent="0.25">
      <c r="I389" s="2"/>
    </row>
    <row r="390" spans="1:13" x14ac:dyDescent="0.25">
      <c r="I390" s="2"/>
    </row>
    <row r="391" spans="1:13" x14ac:dyDescent="0.25">
      <c r="I391" s="2"/>
    </row>
    <row r="392" spans="1:13" x14ac:dyDescent="0.25">
      <c r="I392" s="2"/>
    </row>
    <row r="393" spans="1:13" x14ac:dyDescent="0.25">
      <c r="I393" s="2"/>
    </row>
    <row r="394" spans="1:13" x14ac:dyDescent="0.25">
      <c r="I394" s="2"/>
    </row>
    <row r="395" spans="1:13" x14ac:dyDescent="0.25">
      <c r="I395" s="2"/>
    </row>
    <row r="396" spans="1:13" x14ac:dyDescent="0.25">
      <c r="I396" s="2"/>
    </row>
    <row r="397" spans="1:13" x14ac:dyDescent="0.25">
      <c r="I397" s="2"/>
    </row>
    <row r="398" spans="1:13" x14ac:dyDescent="0.25">
      <c r="I398" s="2"/>
    </row>
    <row r="399" spans="1:13" x14ac:dyDescent="0.25">
      <c r="I399" s="2"/>
    </row>
    <row r="400" spans="1:13" x14ac:dyDescent="0.25">
      <c r="I400" s="2"/>
    </row>
    <row r="401" spans="9:9" x14ac:dyDescent="0.25">
      <c r="I401" s="2"/>
    </row>
    <row r="402" spans="9:9" x14ac:dyDescent="0.25">
      <c r="I402" s="2"/>
    </row>
    <row r="403" spans="9:9" x14ac:dyDescent="0.25">
      <c r="I403" s="2"/>
    </row>
    <row r="404" spans="9:9" x14ac:dyDescent="0.25">
      <c r="I404" s="2"/>
    </row>
    <row r="405" spans="9:9" x14ac:dyDescent="0.25">
      <c r="I405" s="2"/>
    </row>
    <row r="406" spans="9:9" x14ac:dyDescent="0.25">
      <c r="I406" s="2"/>
    </row>
    <row r="407" spans="9:9" x14ac:dyDescent="0.25">
      <c r="I407" s="2"/>
    </row>
    <row r="408" spans="9:9" x14ac:dyDescent="0.25">
      <c r="I408" s="2"/>
    </row>
    <row r="409" spans="9:9" x14ac:dyDescent="0.25">
      <c r="I409" s="2"/>
    </row>
    <row r="410" spans="9:9" x14ac:dyDescent="0.25">
      <c r="I410" s="2"/>
    </row>
    <row r="411" spans="9:9" x14ac:dyDescent="0.25">
      <c r="I411" s="2"/>
    </row>
    <row r="412" spans="9:9" x14ac:dyDescent="0.25">
      <c r="I412" s="2"/>
    </row>
    <row r="413" spans="9:9" x14ac:dyDescent="0.25">
      <c r="I413" s="2"/>
    </row>
    <row r="414" spans="9:9" x14ac:dyDescent="0.25">
      <c r="I414" s="2"/>
    </row>
    <row r="415" spans="9:9" x14ac:dyDescent="0.25">
      <c r="I415" s="2"/>
    </row>
    <row r="416" spans="9:9" x14ac:dyDescent="0.25">
      <c r="I416" s="2"/>
    </row>
    <row r="417" spans="9:9" x14ac:dyDescent="0.25">
      <c r="I417" s="2"/>
    </row>
    <row r="418" spans="9:9" x14ac:dyDescent="0.25">
      <c r="I418" s="2"/>
    </row>
    <row r="419" spans="9:9" x14ac:dyDescent="0.25">
      <c r="I419" s="2"/>
    </row>
    <row r="420" spans="9:9" x14ac:dyDescent="0.25">
      <c r="I420" s="2"/>
    </row>
    <row r="421" spans="9:9" x14ac:dyDescent="0.25">
      <c r="I421" s="2"/>
    </row>
    <row r="422" spans="9:9" x14ac:dyDescent="0.25">
      <c r="I422" s="2"/>
    </row>
    <row r="423" spans="9:9" x14ac:dyDescent="0.25">
      <c r="I423" s="2"/>
    </row>
    <row r="424" spans="9:9" x14ac:dyDescent="0.25">
      <c r="I424" s="2"/>
    </row>
    <row r="425" spans="9:9" x14ac:dyDescent="0.25">
      <c r="I425" s="2"/>
    </row>
    <row r="426" spans="9:9" x14ac:dyDescent="0.25">
      <c r="I426" s="2"/>
    </row>
    <row r="427" spans="9:9" x14ac:dyDescent="0.25">
      <c r="I427" s="2"/>
    </row>
    <row r="428" spans="9:9" x14ac:dyDescent="0.25">
      <c r="I428" s="2"/>
    </row>
    <row r="429" spans="9:9" x14ac:dyDescent="0.25">
      <c r="I429" s="2"/>
    </row>
    <row r="430" spans="9:9" x14ac:dyDescent="0.25">
      <c r="I430" s="2"/>
    </row>
    <row r="431" spans="9:9" x14ac:dyDescent="0.25">
      <c r="I431" s="2"/>
    </row>
    <row r="432" spans="9:9" x14ac:dyDescent="0.25">
      <c r="I432" s="2"/>
    </row>
    <row r="433" spans="9:9" x14ac:dyDescent="0.25">
      <c r="I433" s="2"/>
    </row>
    <row r="434" spans="9:9" x14ac:dyDescent="0.25">
      <c r="I434" s="2"/>
    </row>
    <row r="435" spans="9:9" x14ac:dyDescent="0.25">
      <c r="I435" s="2"/>
    </row>
    <row r="436" spans="9:9" x14ac:dyDescent="0.25">
      <c r="I436" s="2"/>
    </row>
    <row r="437" spans="9:9" x14ac:dyDescent="0.25">
      <c r="I437" s="2"/>
    </row>
    <row r="438" spans="9:9" x14ac:dyDescent="0.25">
      <c r="I438" s="2"/>
    </row>
    <row r="439" spans="9:9" x14ac:dyDescent="0.25">
      <c r="I439" s="2"/>
    </row>
    <row r="440" spans="9:9" x14ac:dyDescent="0.25">
      <c r="I440" s="2"/>
    </row>
    <row r="441" spans="9:9" x14ac:dyDescent="0.25">
      <c r="I441" s="2"/>
    </row>
    <row r="442" spans="9:9" x14ac:dyDescent="0.25">
      <c r="I442" s="2"/>
    </row>
    <row r="443" spans="9:9" x14ac:dyDescent="0.25">
      <c r="I443" s="2"/>
    </row>
    <row r="444" spans="9:9" x14ac:dyDescent="0.25">
      <c r="I444" s="2"/>
    </row>
    <row r="445" spans="9:9" x14ac:dyDescent="0.25">
      <c r="I445" s="2"/>
    </row>
    <row r="446" spans="9:9" x14ac:dyDescent="0.25">
      <c r="I446" s="2"/>
    </row>
    <row r="447" spans="9:9" x14ac:dyDescent="0.25">
      <c r="I447" s="2"/>
    </row>
    <row r="448" spans="9:9" x14ac:dyDescent="0.25">
      <c r="I448" s="2"/>
    </row>
    <row r="449" spans="9:9" x14ac:dyDescent="0.25">
      <c r="I449" s="2"/>
    </row>
    <row r="450" spans="9:9" x14ac:dyDescent="0.25">
      <c r="I450" s="2"/>
    </row>
    <row r="451" spans="9:9" x14ac:dyDescent="0.25">
      <c r="I451" s="2"/>
    </row>
    <row r="452" spans="9:9" x14ac:dyDescent="0.25">
      <c r="I452" s="2"/>
    </row>
    <row r="453" spans="9:9" x14ac:dyDescent="0.25">
      <c r="I453" s="2"/>
    </row>
    <row r="454" spans="9:9" x14ac:dyDescent="0.25">
      <c r="I454" s="2"/>
    </row>
    <row r="455" spans="9:9" x14ac:dyDescent="0.25">
      <c r="I455" s="2"/>
    </row>
    <row r="456" spans="9:9" x14ac:dyDescent="0.25">
      <c r="I456" s="2"/>
    </row>
    <row r="457" spans="9:9" x14ac:dyDescent="0.25">
      <c r="I457" s="2"/>
    </row>
    <row r="458" spans="9:9" x14ac:dyDescent="0.25">
      <c r="I458" s="2"/>
    </row>
    <row r="459" spans="9:9" x14ac:dyDescent="0.25">
      <c r="I459" s="2"/>
    </row>
    <row r="460" spans="9:9" x14ac:dyDescent="0.25">
      <c r="I460" s="2"/>
    </row>
    <row r="461" spans="9:9" x14ac:dyDescent="0.25">
      <c r="I461" s="2"/>
    </row>
    <row r="462" spans="9:9" x14ac:dyDescent="0.25">
      <c r="I462" s="2"/>
    </row>
    <row r="463" spans="9:9" x14ac:dyDescent="0.25">
      <c r="I463" s="2"/>
    </row>
    <row r="464" spans="9:9" x14ac:dyDescent="0.25">
      <c r="I464" s="2"/>
    </row>
    <row r="465" spans="9:9" x14ac:dyDescent="0.25">
      <c r="I465" s="2"/>
    </row>
    <row r="466" spans="9:9" x14ac:dyDescent="0.25">
      <c r="I466" s="2"/>
    </row>
    <row r="467" spans="9:9" x14ac:dyDescent="0.25">
      <c r="I467" s="2"/>
    </row>
    <row r="468" spans="9:9" x14ac:dyDescent="0.25">
      <c r="I468" s="2"/>
    </row>
    <row r="469" spans="9:9" x14ac:dyDescent="0.25">
      <c r="I469" s="2"/>
    </row>
    <row r="470" spans="9:9" x14ac:dyDescent="0.25">
      <c r="I470" s="2"/>
    </row>
    <row r="471" spans="9:9" x14ac:dyDescent="0.25">
      <c r="I471" s="2"/>
    </row>
    <row r="472" spans="9:9" x14ac:dyDescent="0.25">
      <c r="I472" s="2"/>
    </row>
    <row r="473" spans="9:9" x14ac:dyDescent="0.25">
      <c r="I473" s="2"/>
    </row>
    <row r="474" spans="9:9" x14ac:dyDescent="0.25">
      <c r="I474" s="2"/>
    </row>
    <row r="475" spans="9:9" x14ac:dyDescent="0.25">
      <c r="I475" s="2"/>
    </row>
    <row r="476" spans="9:9" x14ac:dyDescent="0.25">
      <c r="I476" s="2"/>
    </row>
    <row r="477" spans="9:9" x14ac:dyDescent="0.25">
      <c r="I477" s="2"/>
    </row>
    <row r="478" spans="9:9" x14ac:dyDescent="0.25">
      <c r="I478" s="2"/>
    </row>
    <row r="479" spans="9:9" x14ac:dyDescent="0.25">
      <c r="I479" s="2"/>
    </row>
    <row r="480" spans="9:9" x14ac:dyDescent="0.25">
      <c r="I480" s="2"/>
    </row>
    <row r="481" spans="9:9" x14ac:dyDescent="0.25">
      <c r="I481" s="2"/>
    </row>
    <row r="482" spans="9:9" x14ac:dyDescent="0.25">
      <c r="I482" s="2"/>
    </row>
    <row r="483" spans="9:9" x14ac:dyDescent="0.25">
      <c r="I483" s="2"/>
    </row>
    <row r="484" spans="9:9" x14ac:dyDescent="0.25">
      <c r="I484" s="2"/>
    </row>
    <row r="485" spans="9:9" x14ac:dyDescent="0.25">
      <c r="I485" s="2"/>
    </row>
    <row r="486" spans="9:9" x14ac:dyDescent="0.25">
      <c r="I486" s="2"/>
    </row>
    <row r="487" spans="9:9" x14ac:dyDescent="0.25">
      <c r="I487" s="2"/>
    </row>
    <row r="488" spans="9:9" x14ac:dyDescent="0.25">
      <c r="I488" s="2"/>
    </row>
    <row r="489" spans="9:9" x14ac:dyDescent="0.25">
      <c r="I489" s="2"/>
    </row>
    <row r="490" spans="9:9" x14ac:dyDescent="0.25">
      <c r="I490" s="2"/>
    </row>
    <row r="491" spans="9:9" x14ac:dyDescent="0.25">
      <c r="I491" s="2"/>
    </row>
    <row r="492" spans="9:9" x14ac:dyDescent="0.25">
      <c r="I492" s="2"/>
    </row>
    <row r="493" spans="9:9" x14ac:dyDescent="0.25">
      <c r="I493" s="2"/>
    </row>
    <row r="494" spans="9:9" x14ac:dyDescent="0.25">
      <c r="I494" s="2"/>
    </row>
    <row r="495" spans="9:9" x14ac:dyDescent="0.25">
      <c r="I495" s="2"/>
    </row>
    <row r="496" spans="9:9" x14ac:dyDescent="0.25">
      <c r="I496" s="2"/>
    </row>
    <row r="497" spans="9:9" x14ac:dyDescent="0.25">
      <c r="I497" s="2"/>
    </row>
    <row r="498" spans="9:9" x14ac:dyDescent="0.25">
      <c r="I498" s="2"/>
    </row>
    <row r="499" spans="9:9" x14ac:dyDescent="0.25">
      <c r="I499" s="2"/>
    </row>
    <row r="500" spans="9:9" x14ac:dyDescent="0.25">
      <c r="I500" s="2"/>
    </row>
    <row r="501" spans="9:9" x14ac:dyDescent="0.25">
      <c r="I501" s="2"/>
    </row>
    <row r="502" spans="9:9" x14ac:dyDescent="0.25">
      <c r="I502" s="2"/>
    </row>
    <row r="503" spans="9:9" x14ac:dyDescent="0.25">
      <c r="I503" s="2"/>
    </row>
    <row r="504" spans="9:9" x14ac:dyDescent="0.25">
      <c r="I504" s="2"/>
    </row>
    <row r="505" spans="9:9" x14ac:dyDescent="0.25">
      <c r="I505" s="2"/>
    </row>
    <row r="506" spans="9:9" x14ac:dyDescent="0.25">
      <c r="I506" s="2"/>
    </row>
    <row r="507" spans="9:9" x14ac:dyDescent="0.25">
      <c r="I507" s="2"/>
    </row>
    <row r="508" spans="9:9" x14ac:dyDescent="0.25">
      <c r="I508" s="2"/>
    </row>
    <row r="509" spans="9:9" x14ac:dyDescent="0.25">
      <c r="I509" s="2"/>
    </row>
    <row r="510" spans="9:9" x14ac:dyDescent="0.25">
      <c r="I510" s="2"/>
    </row>
    <row r="511" spans="9:9" x14ac:dyDescent="0.25">
      <c r="I511" s="2"/>
    </row>
    <row r="512" spans="9:9" x14ac:dyDescent="0.25">
      <c r="I512" s="2"/>
    </row>
    <row r="513" spans="9:9" x14ac:dyDescent="0.25">
      <c r="I513" s="2"/>
    </row>
    <row r="514" spans="9:9" x14ac:dyDescent="0.25">
      <c r="I514" s="2"/>
    </row>
    <row r="515" spans="9:9" x14ac:dyDescent="0.25">
      <c r="I515" s="2"/>
    </row>
    <row r="516" spans="9:9" x14ac:dyDescent="0.25">
      <c r="I516" s="2"/>
    </row>
    <row r="517" spans="9:9" x14ac:dyDescent="0.25">
      <c r="I517" s="2"/>
    </row>
    <row r="518" spans="9:9" x14ac:dyDescent="0.25">
      <c r="I518" s="2"/>
    </row>
    <row r="519" spans="9:9" x14ac:dyDescent="0.25">
      <c r="I519" s="2"/>
    </row>
    <row r="520" spans="9:9" x14ac:dyDescent="0.25">
      <c r="I520" s="2"/>
    </row>
    <row r="521" spans="9:9" x14ac:dyDescent="0.25">
      <c r="I521" s="2"/>
    </row>
    <row r="522" spans="9:9" x14ac:dyDescent="0.25">
      <c r="I522" s="2"/>
    </row>
    <row r="523" spans="9:9" x14ac:dyDescent="0.25">
      <c r="I523" s="2"/>
    </row>
    <row r="524" spans="9:9" x14ac:dyDescent="0.25">
      <c r="I524" s="2"/>
    </row>
    <row r="525" spans="9:9" x14ac:dyDescent="0.25">
      <c r="I525" s="2"/>
    </row>
    <row r="526" spans="9:9" x14ac:dyDescent="0.25">
      <c r="I526" s="2"/>
    </row>
    <row r="527" spans="9:9" x14ac:dyDescent="0.25">
      <c r="I527" s="2"/>
    </row>
    <row r="528" spans="9:9" x14ac:dyDescent="0.25">
      <c r="I528" s="2"/>
    </row>
    <row r="529" spans="9:9" x14ac:dyDescent="0.25">
      <c r="I529" s="2"/>
    </row>
    <row r="530" spans="9:9" x14ac:dyDescent="0.25">
      <c r="I530" s="2"/>
    </row>
    <row r="531" spans="9:9" x14ac:dyDescent="0.25">
      <c r="I531" s="2"/>
    </row>
    <row r="532" spans="9:9" x14ac:dyDescent="0.25">
      <c r="I532" s="2"/>
    </row>
    <row r="533" spans="9:9" x14ac:dyDescent="0.25">
      <c r="I533" s="2"/>
    </row>
    <row r="534" spans="9:9" x14ac:dyDescent="0.25">
      <c r="I534" s="2"/>
    </row>
    <row r="535" spans="9:9" x14ac:dyDescent="0.25">
      <c r="I535" s="2"/>
    </row>
    <row r="536" spans="9:9" x14ac:dyDescent="0.25">
      <c r="I536" s="2"/>
    </row>
    <row r="537" spans="9:9" x14ac:dyDescent="0.25">
      <c r="I537" s="2"/>
    </row>
    <row r="538" spans="9:9" x14ac:dyDescent="0.25">
      <c r="I538" s="2"/>
    </row>
    <row r="539" spans="9:9" x14ac:dyDescent="0.25">
      <c r="I539" s="2"/>
    </row>
    <row r="540" spans="9:9" x14ac:dyDescent="0.25">
      <c r="I540" s="2"/>
    </row>
    <row r="541" spans="9:9" x14ac:dyDescent="0.25">
      <c r="I541" s="2"/>
    </row>
    <row r="542" spans="9:9" x14ac:dyDescent="0.25">
      <c r="I542" s="2"/>
    </row>
    <row r="543" spans="9:9" x14ac:dyDescent="0.25">
      <c r="I543" s="2"/>
    </row>
    <row r="544" spans="9:9" x14ac:dyDescent="0.25">
      <c r="I544" s="2"/>
    </row>
    <row r="545" spans="9:9" x14ac:dyDescent="0.25">
      <c r="I545" s="2"/>
    </row>
    <row r="546" spans="9:9" x14ac:dyDescent="0.25">
      <c r="I546" s="2"/>
    </row>
    <row r="547" spans="9:9" x14ac:dyDescent="0.25">
      <c r="I547" s="2"/>
    </row>
    <row r="548" spans="9:9" x14ac:dyDescent="0.25">
      <c r="I548" s="2"/>
    </row>
    <row r="549" spans="9:9" x14ac:dyDescent="0.25">
      <c r="I549" s="2"/>
    </row>
    <row r="550" spans="9:9" x14ac:dyDescent="0.25">
      <c r="I550" s="2"/>
    </row>
    <row r="551" spans="9:9" x14ac:dyDescent="0.25">
      <c r="I551" s="2"/>
    </row>
    <row r="552" spans="9:9" x14ac:dyDescent="0.25">
      <c r="I552" s="2"/>
    </row>
    <row r="553" spans="9:9" x14ac:dyDescent="0.25">
      <c r="I553" s="2"/>
    </row>
    <row r="554" spans="9:9" x14ac:dyDescent="0.25">
      <c r="I554" s="2"/>
    </row>
    <row r="555" spans="9:9" x14ac:dyDescent="0.25">
      <c r="I555" s="2"/>
    </row>
    <row r="556" spans="9:9" x14ac:dyDescent="0.25">
      <c r="I556" s="2"/>
    </row>
    <row r="557" spans="9:9" x14ac:dyDescent="0.25">
      <c r="I557" s="2"/>
    </row>
    <row r="558" spans="9:9" x14ac:dyDescent="0.25">
      <c r="I558" s="2"/>
    </row>
    <row r="559" spans="9:9" x14ac:dyDescent="0.25">
      <c r="I559" s="2"/>
    </row>
    <row r="560" spans="9:9" x14ac:dyDescent="0.25">
      <c r="I560" s="2"/>
    </row>
    <row r="561" spans="9:9" x14ac:dyDescent="0.25">
      <c r="I561" s="2"/>
    </row>
    <row r="562" spans="9:9" x14ac:dyDescent="0.25">
      <c r="I562" s="2"/>
    </row>
    <row r="563" spans="9:9" x14ac:dyDescent="0.25">
      <c r="I563" s="2"/>
    </row>
    <row r="564" spans="9:9" x14ac:dyDescent="0.25">
      <c r="I564" s="2"/>
    </row>
    <row r="565" spans="9:9" x14ac:dyDescent="0.25">
      <c r="I565" s="2"/>
    </row>
    <row r="566" spans="9:9" x14ac:dyDescent="0.25">
      <c r="I566" s="2"/>
    </row>
    <row r="567" spans="9:9" x14ac:dyDescent="0.25">
      <c r="I567" s="2"/>
    </row>
    <row r="568" spans="9:9" x14ac:dyDescent="0.25">
      <c r="I568" s="2"/>
    </row>
    <row r="569" spans="9:9" x14ac:dyDescent="0.25">
      <c r="I569" s="2"/>
    </row>
    <row r="570" spans="9:9" x14ac:dyDescent="0.25">
      <c r="I570" s="2"/>
    </row>
    <row r="571" spans="9:9" x14ac:dyDescent="0.25">
      <c r="I571" s="2"/>
    </row>
    <row r="572" spans="9:9" x14ac:dyDescent="0.25">
      <c r="I572" s="2"/>
    </row>
    <row r="573" spans="9:9" x14ac:dyDescent="0.25">
      <c r="I573" s="2"/>
    </row>
    <row r="574" spans="9:9" x14ac:dyDescent="0.25">
      <c r="I574" s="2"/>
    </row>
    <row r="575" spans="9:9" x14ac:dyDescent="0.25">
      <c r="I575" s="2"/>
    </row>
    <row r="576" spans="9:9" x14ac:dyDescent="0.25">
      <c r="I576" s="2"/>
    </row>
    <row r="577" spans="9:9" x14ac:dyDescent="0.25">
      <c r="I577" s="2"/>
    </row>
    <row r="578" spans="9:9" x14ac:dyDescent="0.25">
      <c r="I578" s="2"/>
    </row>
    <row r="579" spans="9:9" x14ac:dyDescent="0.25">
      <c r="I579" s="2"/>
    </row>
    <row r="580" spans="9:9" x14ac:dyDescent="0.25">
      <c r="I580" s="2"/>
    </row>
    <row r="581" spans="9:9" x14ac:dyDescent="0.25">
      <c r="I581" s="2"/>
    </row>
    <row r="582" spans="9:9" x14ac:dyDescent="0.25">
      <c r="I582" s="2"/>
    </row>
    <row r="583" spans="9:9" x14ac:dyDescent="0.25">
      <c r="I583" s="2"/>
    </row>
    <row r="584" spans="9:9" x14ac:dyDescent="0.25">
      <c r="I584" s="2"/>
    </row>
    <row r="585" spans="9:9" x14ac:dyDescent="0.25">
      <c r="I585" s="2"/>
    </row>
    <row r="586" spans="9:9" x14ac:dyDescent="0.25">
      <c r="I586" s="2"/>
    </row>
    <row r="587" spans="9:9" x14ac:dyDescent="0.25">
      <c r="I587" s="2"/>
    </row>
    <row r="588" spans="9:9" x14ac:dyDescent="0.25">
      <c r="I588" s="2"/>
    </row>
    <row r="589" spans="9:9" x14ac:dyDescent="0.25">
      <c r="I589" s="2"/>
    </row>
    <row r="590" spans="9:9" x14ac:dyDescent="0.25">
      <c r="I590" s="2"/>
    </row>
    <row r="591" spans="9:9" x14ac:dyDescent="0.25">
      <c r="I591" s="2"/>
    </row>
    <row r="592" spans="9:9" x14ac:dyDescent="0.25">
      <c r="I592" s="2"/>
    </row>
    <row r="593" spans="9:9" x14ac:dyDescent="0.25">
      <c r="I593" s="2"/>
    </row>
    <row r="594" spans="9:9" x14ac:dyDescent="0.25">
      <c r="I594" s="2"/>
    </row>
    <row r="595" spans="9:9" x14ac:dyDescent="0.25">
      <c r="I595" s="2"/>
    </row>
    <row r="596" spans="9:9" x14ac:dyDescent="0.25">
      <c r="I596" s="2"/>
    </row>
    <row r="597" spans="9:9" x14ac:dyDescent="0.25">
      <c r="I597" s="2"/>
    </row>
    <row r="598" spans="9:9" x14ac:dyDescent="0.25">
      <c r="I598" s="2"/>
    </row>
    <row r="599" spans="9:9" x14ac:dyDescent="0.25">
      <c r="I599" s="2"/>
    </row>
    <row r="600" spans="9:9" x14ac:dyDescent="0.25">
      <c r="I600" s="2"/>
    </row>
    <row r="601" spans="9:9" x14ac:dyDescent="0.25">
      <c r="I601" s="2"/>
    </row>
    <row r="602" spans="9:9" x14ac:dyDescent="0.25">
      <c r="I602" s="2"/>
    </row>
    <row r="603" spans="9:9" x14ac:dyDescent="0.25">
      <c r="I603" s="2"/>
    </row>
    <row r="604" spans="9:9" x14ac:dyDescent="0.25">
      <c r="I604" s="2"/>
    </row>
    <row r="605" spans="9:9" x14ac:dyDescent="0.25">
      <c r="I605" s="2"/>
    </row>
    <row r="606" spans="9:9" x14ac:dyDescent="0.25">
      <c r="I606" s="2"/>
    </row>
    <row r="607" spans="9:9" x14ac:dyDescent="0.25">
      <c r="I607" s="2"/>
    </row>
    <row r="608" spans="9:9" x14ac:dyDescent="0.25">
      <c r="I608" s="2"/>
    </row>
    <row r="609" spans="9:9" x14ac:dyDescent="0.25">
      <c r="I609" s="2"/>
    </row>
    <row r="610" spans="9:9" x14ac:dyDescent="0.25">
      <c r="I610" s="2"/>
    </row>
    <row r="611" spans="9:9" x14ac:dyDescent="0.25">
      <c r="I611" s="2"/>
    </row>
    <row r="612" spans="9:9" x14ac:dyDescent="0.25">
      <c r="I612" s="2"/>
    </row>
    <row r="613" spans="9:9" x14ac:dyDescent="0.25">
      <c r="I613" s="2"/>
    </row>
    <row r="614" spans="9:9" x14ac:dyDescent="0.25">
      <c r="I614" s="2"/>
    </row>
    <row r="615" spans="9:9" x14ac:dyDescent="0.25">
      <c r="I615" s="2"/>
    </row>
    <row r="616" spans="9:9" x14ac:dyDescent="0.25">
      <c r="I616" s="2"/>
    </row>
    <row r="617" spans="9:9" x14ac:dyDescent="0.25">
      <c r="I617" s="2"/>
    </row>
    <row r="618" spans="9:9" x14ac:dyDescent="0.25">
      <c r="I618" s="2"/>
    </row>
    <row r="619" spans="9:9" x14ac:dyDescent="0.25">
      <c r="I619" s="2"/>
    </row>
    <row r="620" spans="9:9" x14ac:dyDescent="0.25">
      <c r="I620" s="2"/>
    </row>
    <row r="621" spans="9:9" x14ac:dyDescent="0.25">
      <c r="I621" s="2"/>
    </row>
    <row r="622" spans="9:9" x14ac:dyDescent="0.25">
      <c r="I622" s="2"/>
    </row>
    <row r="623" spans="9:9" x14ac:dyDescent="0.25">
      <c r="I623" s="2"/>
    </row>
    <row r="624" spans="9:9" x14ac:dyDescent="0.25">
      <c r="I624" s="2"/>
    </row>
    <row r="625" spans="9:9" x14ac:dyDescent="0.25">
      <c r="I625" s="2"/>
    </row>
    <row r="626" spans="9:9" x14ac:dyDescent="0.25">
      <c r="I626" s="2"/>
    </row>
    <row r="627" spans="9:9" x14ac:dyDescent="0.25">
      <c r="I627" s="2"/>
    </row>
    <row r="628" spans="9:9" x14ac:dyDescent="0.25">
      <c r="I628" s="2"/>
    </row>
    <row r="629" spans="9:9" x14ac:dyDescent="0.25">
      <c r="I629" s="2"/>
    </row>
    <row r="630" spans="9:9" x14ac:dyDescent="0.25">
      <c r="I630" s="2"/>
    </row>
    <row r="631" spans="9:9" x14ac:dyDescent="0.25">
      <c r="I631" s="2"/>
    </row>
    <row r="632" spans="9:9" x14ac:dyDescent="0.25">
      <c r="I632" s="2"/>
    </row>
    <row r="633" spans="9:9" x14ac:dyDescent="0.25">
      <c r="I633" s="2"/>
    </row>
    <row r="634" spans="9:9" x14ac:dyDescent="0.25">
      <c r="I634" s="2"/>
    </row>
    <row r="635" spans="9:9" x14ac:dyDescent="0.25">
      <c r="I635" s="2"/>
    </row>
    <row r="636" spans="9:9" x14ac:dyDescent="0.25">
      <c r="I636" s="2"/>
    </row>
    <row r="637" spans="9:9" x14ac:dyDescent="0.25">
      <c r="I637" s="2"/>
    </row>
    <row r="638" spans="9:9" x14ac:dyDescent="0.25">
      <c r="I638" s="2"/>
    </row>
    <row r="639" spans="9:9" x14ac:dyDescent="0.25">
      <c r="I639" s="2"/>
    </row>
    <row r="640" spans="9:9" x14ac:dyDescent="0.25">
      <c r="I640" s="2"/>
    </row>
    <row r="641" spans="9:9" x14ac:dyDescent="0.25">
      <c r="I641" s="2"/>
    </row>
    <row r="642" spans="9:9" x14ac:dyDescent="0.25">
      <c r="I642" s="2"/>
    </row>
    <row r="643" spans="9:9" x14ac:dyDescent="0.25">
      <c r="I643" s="2"/>
    </row>
    <row r="644" spans="9:9" x14ac:dyDescent="0.25">
      <c r="I644" s="2"/>
    </row>
    <row r="645" spans="9:9" x14ac:dyDescent="0.25">
      <c r="I645" s="2"/>
    </row>
    <row r="646" spans="9:9" x14ac:dyDescent="0.25">
      <c r="I646" s="2"/>
    </row>
    <row r="647" spans="9:9" x14ac:dyDescent="0.25">
      <c r="I647" s="2"/>
    </row>
    <row r="648" spans="9:9" x14ac:dyDescent="0.25">
      <c r="I648" s="2"/>
    </row>
    <row r="649" spans="9:9" x14ac:dyDescent="0.25">
      <c r="I649" s="2"/>
    </row>
    <row r="650" spans="9:9" x14ac:dyDescent="0.25">
      <c r="I650" s="2"/>
    </row>
    <row r="651" spans="9:9" x14ac:dyDescent="0.25">
      <c r="I651" s="2"/>
    </row>
    <row r="652" spans="9:9" x14ac:dyDescent="0.25">
      <c r="I652" s="2"/>
    </row>
    <row r="653" spans="9:9" x14ac:dyDescent="0.25">
      <c r="I653" s="2"/>
    </row>
    <row r="654" spans="9:9" x14ac:dyDescent="0.25">
      <c r="I654" s="2"/>
    </row>
    <row r="655" spans="9:9" x14ac:dyDescent="0.25">
      <c r="I655" s="2"/>
    </row>
    <row r="656" spans="9:9" x14ac:dyDescent="0.25">
      <c r="I656" s="2"/>
    </row>
    <row r="657" spans="9:9" x14ac:dyDescent="0.25">
      <c r="I657" s="2"/>
    </row>
    <row r="658" spans="9:9" x14ac:dyDescent="0.25">
      <c r="I658" s="2"/>
    </row>
    <row r="659" spans="9:9" x14ac:dyDescent="0.25">
      <c r="I659" s="2"/>
    </row>
    <row r="660" spans="9:9" x14ac:dyDescent="0.25">
      <c r="I660" s="2"/>
    </row>
    <row r="661" spans="9:9" x14ac:dyDescent="0.25">
      <c r="I661" s="2"/>
    </row>
    <row r="662" spans="9:9" x14ac:dyDescent="0.25">
      <c r="I662" s="2"/>
    </row>
    <row r="663" spans="9:9" x14ac:dyDescent="0.25">
      <c r="I663" s="2"/>
    </row>
    <row r="664" spans="9:9" x14ac:dyDescent="0.25">
      <c r="I664" s="2"/>
    </row>
    <row r="665" spans="9:9" x14ac:dyDescent="0.25">
      <c r="I665" s="2"/>
    </row>
    <row r="666" spans="9:9" x14ac:dyDescent="0.25">
      <c r="I666" s="2"/>
    </row>
    <row r="667" spans="9:9" x14ac:dyDescent="0.25">
      <c r="I667" s="2"/>
    </row>
    <row r="668" spans="9:9" x14ac:dyDescent="0.25">
      <c r="I668" s="2"/>
    </row>
    <row r="669" spans="9:9" x14ac:dyDescent="0.25">
      <c r="I669" s="2"/>
    </row>
    <row r="670" spans="9:9" x14ac:dyDescent="0.25">
      <c r="I670" s="2"/>
    </row>
    <row r="671" spans="9:9" x14ac:dyDescent="0.25">
      <c r="I671" s="2"/>
    </row>
    <row r="672" spans="9:9" x14ac:dyDescent="0.25">
      <c r="I672" s="2"/>
    </row>
    <row r="673" spans="9:9" x14ac:dyDescent="0.25">
      <c r="I673" s="2"/>
    </row>
    <row r="674" spans="9:9" x14ac:dyDescent="0.25">
      <c r="I674" s="2"/>
    </row>
    <row r="675" spans="9:9" x14ac:dyDescent="0.25">
      <c r="I675" s="2"/>
    </row>
    <row r="676" spans="9:9" x14ac:dyDescent="0.25">
      <c r="I676" s="2"/>
    </row>
    <row r="677" spans="9:9" x14ac:dyDescent="0.25">
      <c r="I677" s="2"/>
    </row>
    <row r="678" spans="9:9" x14ac:dyDescent="0.25">
      <c r="I678" s="2"/>
    </row>
    <row r="679" spans="9:9" x14ac:dyDescent="0.25">
      <c r="I679" s="2"/>
    </row>
    <row r="680" spans="9:9" x14ac:dyDescent="0.25">
      <c r="I680" s="2"/>
    </row>
    <row r="681" spans="9:9" x14ac:dyDescent="0.25">
      <c r="I681" s="2"/>
    </row>
    <row r="682" spans="9:9" x14ac:dyDescent="0.25">
      <c r="I682" s="2"/>
    </row>
    <row r="683" spans="9:9" x14ac:dyDescent="0.25">
      <c r="I683" s="2"/>
    </row>
    <row r="684" spans="9:9" x14ac:dyDescent="0.25">
      <c r="I684" s="2"/>
    </row>
    <row r="685" spans="9:9" x14ac:dyDescent="0.25">
      <c r="I685" s="2"/>
    </row>
    <row r="686" spans="9:9" x14ac:dyDescent="0.25">
      <c r="I686" s="2"/>
    </row>
    <row r="687" spans="9:9" x14ac:dyDescent="0.25">
      <c r="I687" s="2"/>
    </row>
    <row r="688" spans="9:9" x14ac:dyDescent="0.25">
      <c r="I688" s="2"/>
    </row>
    <row r="689" spans="9:9" x14ac:dyDescent="0.25">
      <c r="I689" s="2"/>
    </row>
    <row r="690" spans="9:9" x14ac:dyDescent="0.25">
      <c r="I690" s="2"/>
    </row>
    <row r="691" spans="9:9" x14ac:dyDescent="0.25">
      <c r="I691" s="2"/>
    </row>
    <row r="692" spans="9:9" x14ac:dyDescent="0.25">
      <c r="I692" s="2"/>
    </row>
    <row r="693" spans="9:9" x14ac:dyDescent="0.25">
      <c r="I693" s="2"/>
    </row>
    <row r="694" spans="9:9" x14ac:dyDescent="0.25">
      <c r="I694" s="2"/>
    </row>
    <row r="695" spans="9:9" x14ac:dyDescent="0.25">
      <c r="I695" s="2"/>
    </row>
    <row r="696" spans="9:9" x14ac:dyDescent="0.25">
      <c r="I696" s="2"/>
    </row>
    <row r="697" spans="9:9" x14ac:dyDescent="0.25">
      <c r="I697" s="2"/>
    </row>
    <row r="698" spans="9:9" x14ac:dyDescent="0.25">
      <c r="I698" s="2"/>
    </row>
    <row r="699" spans="9:9" x14ac:dyDescent="0.25">
      <c r="I699" s="2"/>
    </row>
    <row r="700" spans="9:9" x14ac:dyDescent="0.25">
      <c r="I700" s="2"/>
    </row>
    <row r="701" spans="9:9" x14ac:dyDescent="0.25">
      <c r="I701" s="2"/>
    </row>
    <row r="702" spans="9:9" x14ac:dyDescent="0.25">
      <c r="I702" s="2"/>
    </row>
    <row r="703" spans="9:9" x14ac:dyDescent="0.25">
      <c r="I703" s="2"/>
    </row>
    <row r="704" spans="9:9" x14ac:dyDescent="0.25">
      <c r="I704" s="2"/>
    </row>
    <row r="705" spans="9:9" x14ac:dyDescent="0.25">
      <c r="I705" s="2"/>
    </row>
    <row r="706" spans="9:9" x14ac:dyDescent="0.25">
      <c r="I706" s="2"/>
    </row>
    <row r="707" spans="9:9" x14ac:dyDescent="0.25">
      <c r="I707" s="2"/>
    </row>
    <row r="708" spans="9:9" x14ac:dyDescent="0.25">
      <c r="I708" s="2"/>
    </row>
    <row r="709" spans="9:9" x14ac:dyDescent="0.25">
      <c r="I709" s="2"/>
    </row>
    <row r="710" spans="9:9" x14ac:dyDescent="0.25">
      <c r="I710" s="2"/>
    </row>
    <row r="711" spans="9:9" x14ac:dyDescent="0.25">
      <c r="I711" s="2"/>
    </row>
    <row r="712" spans="9:9" x14ac:dyDescent="0.25">
      <c r="I712" s="2"/>
    </row>
    <row r="713" spans="9:9" x14ac:dyDescent="0.25">
      <c r="I713" s="2"/>
    </row>
    <row r="714" spans="9:9" x14ac:dyDescent="0.25">
      <c r="I714" s="2"/>
    </row>
    <row r="715" spans="9:9" x14ac:dyDescent="0.25">
      <c r="I715" s="2"/>
    </row>
    <row r="716" spans="9:9" x14ac:dyDescent="0.25">
      <c r="I716" s="2"/>
    </row>
    <row r="717" spans="9:9" x14ac:dyDescent="0.25">
      <c r="I717" s="2"/>
    </row>
    <row r="718" spans="9:9" x14ac:dyDescent="0.25">
      <c r="I718" s="2"/>
    </row>
    <row r="719" spans="9:9" x14ac:dyDescent="0.25">
      <c r="I719" s="2"/>
    </row>
    <row r="720" spans="9:9" x14ac:dyDescent="0.25">
      <c r="I720" s="2"/>
    </row>
    <row r="721" spans="9:9" x14ac:dyDescent="0.25">
      <c r="I721" s="2"/>
    </row>
    <row r="722" spans="9:9" x14ac:dyDescent="0.25">
      <c r="I722" s="2"/>
    </row>
    <row r="723" spans="9:9" x14ac:dyDescent="0.25">
      <c r="I723" s="2"/>
    </row>
    <row r="724" spans="9:9" x14ac:dyDescent="0.25">
      <c r="I724" s="2"/>
    </row>
    <row r="725" spans="9:9" x14ac:dyDescent="0.25">
      <c r="I725" s="2"/>
    </row>
    <row r="726" spans="9:9" x14ac:dyDescent="0.25">
      <c r="I726" s="2"/>
    </row>
    <row r="727" spans="9:9" x14ac:dyDescent="0.25">
      <c r="I727" s="2"/>
    </row>
    <row r="728" spans="9:9" x14ac:dyDescent="0.25">
      <c r="I728" s="2"/>
    </row>
    <row r="729" spans="9:9" x14ac:dyDescent="0.25">
      <c r="I729" s="2"/>
    </row>
    <row r="730" spans="9:9" x14ac:dyDescent="0.25">
      <c r="I730" s="2"/>
    </row>
    <row r="731" spans="9:9" x14ac:dyDescent="0.25">
      <c r="I731" s="2"/>
    </row>
    <row r="732" spans="9:9" x14ac:dyDescent="0.25">
      <c r="I732" s="2"/>
    </row>
    <row r="733" spans="9:9" x14ac:dyDescent="0.25">
      <c r="I733" s="2"/>
    </row>
    <row r="734" spans="9:9" x14ac:dyDescent="0.25">
      <c r="I734" s="2"/>
    </row>
    <row r="735" spans="9:9" x14ac:dyDescent="0.25">
      <c r="I735" s="2"/>
    </row>
    <row r="736" spans="9:9" x14ac:dyDescent="0.25">
      <c r="I736" s="2"/>
    </row>
    <row r="737" spans="9:9" x14ac:dyDescent="0.25">
      <c r="I737" s="2"/>
    </row>
    <row r="738" spans="9:9" x14ac:dyDescent="0.25">
      <c r="I738" s="2"/>
    </row>
    <row r="739" spans="9:9" x14ac:dyDescent="0.25">
      <c r="I739" s="2"/>
    </row>
    <row r="740" spans="9:9" x14ac:dyDescent="0.25">
      <c r="I740" s="2"/>
    </row>
    <row r="741" spans="9:9" x14ac:dyDescent="0.25">
      <c r="I741" s="2"/>
    </row>
    <row r="742" spans="9:9" x14ac:dyDescent="0.25">
      <c r="I742" s="2"/>
    </row>
    <row r="743" spans="9:9" x14ac:dyDescent="0.25">
      <c r="I743" s="2"/>
    </row>
    <row r="744" spans="9:9" x14ac:dyDescent="0.25">
      <c r="I744" s="2"/>
    </row>
    <row r="745" spans="9:9" x14ac:dyDescent="0.25">
      <c r="I745" s="2"/>
    </row>
    <row r="746" spans="9:9" x14ac:dyDescent="0.25">
      <c r="I746" s="2"/>
    </row>
    <row r="747" spans="9:9" x14ac:dyDescent="0.25">
      <c r="I747" s="2"/>
    </row>
    <row r="748" spans="9:9" x14ac:dyDescent="0.25">
      <c r="I748" s="2"/>
    </row>
    <row r="749" spans="9:9" x14ac:dyDescent="0.25">
      <c r="I749" s="2"/>
    </row>
    <row r="750" spans="9:9" x14ac:dyDescent="0.25">
      <c r="I750" s="2"/>
    </row>
    <row r="751" spans="9:9" x14ac:dyDescent="0.25">
      <c r="I751" s="2"/>
    </row>
    <row r="752" spans="9:9" x14ac:dyDescent="0.25">
      <c r="I752" s="2"/>
    </row>
    <row r="753" spans="9:9" x14ac:dyDescent="0.25">
      <c r="I753" s="2"/>
    </row>
    <row r="754" spans="9:9" x14ac:dyDescent="0.25">
      <c r="I754" s="2"/>
    </row>
    <row r="755" spans="9:9" x14ac:dyDescent="0.25">
      <c r="I755" s="2"/>
    </row>
    <row r="756" spans="9:9" x14ac:dyDescent="0.25">
      <c r="I756" s="2"/>
    </row>
    <row r="757" spans="9:9" x14ac:dyDescent="0.25">
      <c r="I757" s="2"/>
    </row>
    <row r="758" spans="9:9" x14ac:dyDescent="0.25">
      <c r="I758" s="2"/>
    </row>
    <row r="759" spans="9:9" x14ac:dyDescent="0.25">
      <c r="I759" s="2"/>
    </row>
    <row r="760" spans="9:9" x14ac:dyDescent="0.25">
      <c r="I760" s="2"/>
    </row>
    <row r="761" spans="9:9" x14ac:dyDescent="0.25">
      <c r="I761" s="2"/>
    </row>
    <row r="762" spans="9:9" x14ac:dyDescent="0.25">
      <c r="I762" s="2"/>
    </row>
    <row r="763" spans="9:9" x14ac:dyDescent="0.25">
      <c r="I763" s="2"/>
    </row>
    <row r="764" spans="9:9" x14ac:dyDescent="0.25">
      <c r="I764" s="2"/>
    </row>
    <row r="765" spans="9:9" x14ac:dyDescent="0.25">
      <c r="I765" s="2"/>
    </row>
    <row r="766" spans="9:9" x14ac:dyDescent="0.25">
      <c r="I766" s="2"/>
    </row>
    <row r="767" spans="9:9" x14ac:dyDescent="0.25">
      <c r="I767" s="2"/>
    </row>
    <row r="768" spans="9:9" x14ac:dyDescent="0.25">
      <c r="I768" s="2"/>
    </row>
    <row r="769" spans="9:9" x14ac:dyDescent="0.25">
      <c r="I769" s="2"/>
    </row>
    <row r="770" spans="9:9" x14ac:dyDescent="0.25">
      <c r="I770" s="2"/>
    </row>
    <row r="771" spans="9:9" x14ac:dyDescent="0.25">
      <c r="I771" s="2"/>
    </row>
    <row r="772" spans="9:9" x14ac:dyDescent="0.25">
      <c r="I772" s="2"/>
    </row>
    <row r="773" spans="9:9" x14ac:dyDescent="0.25">
      <c r="I773" s="2"/>
    </row>
    <row r="774" spans="9:9" x14ac:dyDescent="0.25">
      <c r="I774" s="2"/>
    </row>
    <row r="775" spans="9:9" x14ac:dyDescent="0.25">
      <c r="I775" s="2"/>
    </row>
    <row r="776" spans="9:9" x14ac:dyDescent="0.25">
      <c r="I776" s="2"/>
    </row>
    <row r="777" spans="9:9" x14ac:dyDescent="0.25">
      <c r="I777" s="2"/>
    </row>
    <row r="778" spans="9:9" x14ac:dyDescent="0.25">
      <c r="I778" s="2"/>
    </row>
    <row r="779" spans="9:9" x14ac:dyDescent="0.25">
      <c r="I779" s="2"/>
    </row>
    <row r="780" spans="9:9" x14ac:dyDescent="0.25">
      <c r="I780" s="2"/>
    </row>
    <row r="781" spans="9:9" x14ac:dyDescent="0.25">
      <c r="I781" s="2"/>
    </row>
    <row r="782" spans="9:9" x14ac:dyDescent="0.25">
      <c r="I782" s="2"/>
    </row>
    <row r="783" spans="9:9" x14ac:dyDescent="0.25">
      <c r="I783" s="2"/>
    </row>
    <row r="784" spans="9:9" x14ac:dyDescent="0.25">
      <c r="I784" s="2"/>
    </row>
    <row r="785" spans="9:9" x14ac:dyDescent="0.25">
      <c r="I785" s="2"/>
    </row>
    <row r="786" spans="9:9" x14ac:dyDescent="0.25">
      <c r="I786" s="2"/>
    </row>
    <row r="787" spans="9:9" x14ac:dyDescent="0.25">
      <c r="I787" s="2"/>
    </row>
    <row r="788" spans="9:9" x14ac:dyDescent="0.25">
      <c r="I788" s="2"/>
    </row>
    <row r="789" spans="9:9" x14ac:dyDescent="0.25">
      <c r="I789" s="2"/>
    </row>
    <row r="790" spans="9:9" x14ac:dyDescent="0.25">
      <c r="I790" s="2"/>
    </row>
    <row r="791" spans="9:9" x14ac:dyDescent="0.25">
      <c r="I791" s="2"/>
    </row>
    <row r="792" spans="9:9" x14ac:dyDescent="0.25">
      <c r="I792" s="2"/>
    </row>
    <row r="793" spans="9:9" x14ac:dyDescent="0.25">
      <c r="I793" s="2"/>
    </row>
    <row r="794" spans="9:9" x14ac:dyDescent="0.25">
      <c r="I794" s="2"/>
    </row>
    <row r="795" spans="9:9" x14ac:dyDescent="0.25">
      <c r="I795" s="2"/>
    </row>
    <row r="796" spans="9:9" x14ac:dyDescent="0.25">
      <c r="I796" s="2"/>
    </row>
    <row r="797" spans="9:9" x14ac:dyDescent="0.25">
      <c r="I797" s="2"/>
    </row>
    <row r="798" spans="9:9" x14ac:dyDescent="0.25">
      <c r="I798" s="2"/>
    </row>
    <row r="799" spans="9:9" x14ac:dyDescent="0.25">
      <c r="I799" s="2"/>
    </row>
    <row r="800" spans="9:9" x14ac:dyDescent="0.25">
      <c r="I800" s="2"/>
    </row>
    <row r="801" spans="9:9" x14ac:dyDescent="0.25">
      <c r="I801" s="2"/>
    </row>
    <row r="802" spans="9:9" x14ac:dyDescent="0.25">
      <c r="I802" s="2"/>
    </row>
    <row r="803" spans="9:9" x14ac:dyDescent="0.25">
      <c r="I803" s="2"/>
    </row>
    <row r="804" spans="9:9" x14ac:dyDescent="0.25">
      <c r="I804" s="2"/>
    </row>
    <row r="805" spans="9:9" x14ac:dyDescent="0.25">
      <c r="I805" s="2"/>
    </row>
    <row r="806" spans="9:9" x14ac:dyDescent="0.25">
      <c r="I806" s="2"/>
    </row>
    <row r="807" spans="9:9" x14ac:dyDescent="0.25">
      <c r="I807" s="2"/>
    </row>
    <row r="808" spans="9:9" x14ac:dyDescent="0.25">
      <c r="I808" s="2"/>
    </row>
    <row r="809" spans="9:9" x14ac:dyDescent="0.25">
      <c r="I809" s="2"/>
    </row>
    <row r="810" spans="9:9" x14ac:dyDescent="0.25">
      <c r="I810" s="2"/>
    </row>
    <row r="811" spans="9:9" x14ac:dyDescent="0.25">
      <c r="I811" s="2"/>
    </row>
    <row r="812" spans="9:9" x14ac:dyDescent="0.25">
      <c r="I812" s="2"/>
    </row>
    <row r="813" spans="9:9" x14ac:dyDescent="0.25">
      <c r="I813" s="2"/>
    </row>
    <row r="814" spans="9:9" x14ac:dyDescent="0.25">
      <c r="I814" s="2"/>
    </row>
    <row r="815" spans="9:9" x14ac:dyDescent="0.25">
      <c r="I815" s="2"/>
    </row>
    <row r="816" spans="9:9" x14ac:dyDescent="0.25">
      <c r="I816" s="2"/>
    </row>
    <row r="817" spans="9:9" x14ac:dyDescent="0.25">
      <c r="I817" s="2"/>
    </row>
    <row r="818" spans="9:9" x14ac:dyDescent="0.25">
      <c r="I818" s="2"/>
    </row>
    <row r="819" spans="9:9" x14ac:dyDescent="0.25">
      <c r="I819" s="2"/>
    </row>
    <row r="820" spans="9:9" x14ac:dyDescent="0.25">
      <c r="I820" s="2"/>
    </row>
    <row r="821" spans="9:9" x14ac:dyDescent="0.25">
      <c r="I821" s="2"/>
    </row>
    <row r="822" spans="9:9" x14ac:dyDescent="0.25">
      <c r="I822" s="2"/>
    </row>
    <row r="823" spans="9:9" x14ac:dyDescent="0.25">
      <c r="I823" s="2"/>
    </row>
    <row r="824" spans="9:9" x14ac:dyDescent="0.25">
      <c r="I824" s="2"/>
    </row>
    <row r="825" spans="9:9" x14ac:dyDescent="0.25">
      <c r="I825" s="2"/>
    </row>
    <row r="826" spans="9:9" x14ac:dyDescent="0.25">
      <c r="I826" s="2"/>
    </row>
    <row r="827" spans="9:9" x14ac:dyDescent="0.25">
      <c r="I827" s="2"/>
    </row>
    <row r="828" spans="9:9" x14ac:dyDescent="0.25">
      <c r="I828" s="2"/>
    </row>
    <row r="829" spans="9:9" x14ac:dyDescent="0.25">
      <c r="I829" s="2"/>
    </row>
    <row r="830" spans="9:9" x14ac:dyDescent="0.25">
      <c r="I830" s="2"/>
    </row>
    <row r="831" spans="9:9" x14ac:dyDescent="0.25">
      <c r="I831" s="2"/>
    </row>
    <row r="832" spans="9:9" x14ac:dyDescent="0.25">
      <c r="I832" s="2"/>
    </row>
    <row r="833" spans="9:9" x14ac:dyDescent="0.25">
      <c r="I833" s="2"/>
    </row>
    <row r="834" spans="9:9" x14ac:dyDescent="0.25">
      <c r="I834" s="2"/>
    </row>
    <row r="835" spans="9:9" x14ac:dyDescent="0.25">
      <c r="I835" s="2"/>
    </row>
    <row r="836" spans="9:9" x14ac:dyDescent="0.25">
      <c r="I836" s="2"/>
    </row>
    <row r="837" spans="9:9" x14ac:dyDescent="0.25">
      <c r="I837" s="2"/>
    </row>
    <row r="838" spans="9:9" x14ac:dyDescent="0.25">
      <c r="I838" s="2"/>
    </row>
    <row r="839" spans="9:9" x14ac:dyDescent="0.25">
      <c r="I839" s="2"/>
    </row>
    <row r="840" spans="9:9" x14ac:dyDescent="0.25">
      <c r="I840" s="2"/>
    </row>
    <row r="841" spans="9:9" x14ac:dyDescent="0.25">
      <c r="I841" s="2"/>
    </row>
    <row r="842" spans="9:9" x14ac:dyDescent="0.25">
      <c r="I842" s="2"/>
    </row>
    <row r="843" spans="9:9" x14ac:dyDescent="0.25">
      <c r="I843" s="2"/>
    </row>
    <row r="844" spans="9:9" x14ac:dyDescent="0.25">
      <c r="I844" s="2"/>
    </row>
    <row r="845" spans="9:9" x14ac:dyDescent="0.25">
      <c r="I845" s="2"/>
    </row>
    <row r="846" spans="9:9" x14ac:dyDescent="0.25">
      <c r="I846" s="2"/>
    </row>
    <row r="847" spans="9:9" x14ac:dyDescent="0.25">
      <c r="I847" s="2"/>
    </row>
    <row r="848" spans="9:9" x14ac:dyDescent="0.25">
      <c r="I848" s="2"/>
    </row>
    <row r="849" spans="9:9" x14ac:dyDescent="0.25">
      <c r="I849" s="2"/>
    </row>
    <row r="850" spans="9:9" x14ac:dyDescent="0.25">
      <c r="I850" s="2"/>
    </row>
    <row r="851" spans="9:9" x14ac:dyDescent="0.25">
      <c r="I851" s="2"/>
    </row>
    <row r="852" spans="9:9" x14ac:dyDescent="0.25">
      <c r="I852" s="2"/>
    </row>
    <row r="853" spans="9:9" x14ac:dyDescent="0.25">
      <c r="I853" s="2"/>
    </row>
    <row r="854" spans="9:9" x14ac:dyDescent="0.25">
      <c r="I854" s="2"/>
    </row>
    <row r="855" spans="9:9" x14ac:dyDescent="0.25">
      <c r="I855" s="2"/>
    </row>
    <row r="856" spans="9:9" x14ac:dyDescent="0.25">
      <c r="I856" s="2"/>
    </row>
    <row r="857" spans="9:9" x14ac:dyDescent="0.25">
      <c r="I857" s="2"/>
    </row>
    <row r="858" spans="9:9" x14ac:dyDescent="0.25">
      <c r="I858" s="2"/>
    </row>
    <row r="859" spans="9:9" x14ac:dyDescent="0.25">
      <c r="I859" s="2"/>
    </row>
    <row r="860" spans="9:9" x14ac:dyDescent="0.25">
      <c r="I860" s="2"/>
    </row>
    <row r="861" spans="9:9" x14ac:dyDescent="0.25">
      <c r="I861" s="2"/>
    </row>
    <row r="862" spans="9:9" x14ac:dyDescent="0.25">
      <c r="I862" s="2"/>
    </row>
    <row r="863" spans="9:9" x14ac:dyDescent="0.25">
      <c r="I863" s="2"/>
    </row>
    <row r="864" spans="9:9" x14ac:dyDescent="0.25">
      <c r="I864" s="2"/>
    </row>
    <row r="865" spans="9:9" x14ac:dyDescent="0.25">
      <c r="I865" s="2"/>
    </row>
    <row r="866" spans="9:9" x14ac:dyDescent="0.25">
      <c r="I866" s="2"/>
    </row>
    <row r="867" spans="9:9" x14ac:dyDescent="0.25">
      <c r="I867" s="2"/>
    </row>
    <row r="868" spans="9:9" x14ac:dyDescent="0.25">
      <c r="I868" s="2"/>
    </row>
    <row r="869" spans="9:9" x14ac:dyDescent="0.25">
      <c r="I869" s="2"/>
    </row>
    <row r="870" spans="9:9" x14ac:dyDescent="0.25">
      <c r="I870" s="2"/>
    </row>
    <row r="871" spans="9:9" x14ac:dyDescent="0.25">
      <c r="I871" s="2"/>
    </row>
    <row r="872" spans="9:9" x14ac:dyDescent="0.25">
      <c r="I872" s="2"/>
    </row>
    <row r="873" spans="9:9" x14ac:dyDescent="0.25">
      <c r="I873" s="2"/>
    </row>
    <row r="874" spans="9:9" x14ac:dyDescent="0.25">
      <c r="I874" s="2"/>
    </row>
    <row r="875" spans="9:9" x14ac:dyDescent="0.25">
      <c r="I875" s="2"/>
    </row>
    <row r="876" spans="9:9" x14ac:dyDescent="0.25">
      <c r="I876" s="2"/>
    </row>
    <row r="877" spans="9:9" x14ac:dyDescent="0.25">
      <c r="I877" s="2"/>
    </row>
    <row r="878" spans="9:9" x14ac:dyDescent="0.25">
      <c r="I878" s="2"/>
    </row>
    <row r="879" spans="9:9" x14ac:dyDescent="0.25">
      <c r="I879" s="2"/>
    </row>
    <row r="880" spans="9:9" x14ac:dyDescent="0.25">
      <c r="I880" s="2"/>
    </row>
    <row r="881" spans="9:9" x14ac:dyDescent="0.25">
      <c r="I881" s="2"/>
    </row>
    <row r="882" spans="9:9" x14ac:dyDescent="0.25">
      <c r="I882" s="2"/>
    </row>
    <row r="883" spans="9:9" x14ac:dyDescent="0.25">
      <c r="I883" s="2"/>
    </row>
    <row r="884" spans="9:9" x14ac:dyDescent="0.25">
      <c r="I884" s="2"/>
    </row>
    <row r="885" spans="9:9" x14ac:dyDescent="0.25">
      <c r="I885" s="2"/>
    </row>
    <row r="886" spans="9:9" x14ac:dyDescent="0.25">
      <c r="I886" s="2"/>
    </row>
    <row r="887" spans="9:9" x14ac:dyDescent="0.25">
      <c r="I887" s="2"/>
    </row>
    <row r="888" spans="9:9" x14ac:dyDescent="0.25">
      <c r="I888" s="2"/>
    </row>
    <row r="889" spans="9:9" x14ac:dyDescent="0.25">
      <c r="I889" s="2"/>
    </row>
    <row r="890" spans="9:9" x14ac:dyDescent="0.25">
      <c r="I890" s="2"/>
    </row>
    <row r="891" spans="9:9" x14ac:dyDescent="0.25">
      <c r="I891" s="2"/>
    </row>
    <row r="892" spans="9:9" x14ac:dyDescent="0.25">
      <c r="I892" s="2"/>
    </row>
    <row r="893" spans="9:9" x14ac:dyDescent="0.25">
      <c r="I893" s="2"/>
    </row>
    <row r="894" spans="9:9" x14ac:dyDescent="0.25">
      <c r="I894" s="2"/>
    </row>
    <row r="895" spans="9:9" x14ac:dyDescent="0.25">
      <c r="I895" s="2"/>
    </row>
    <row r="896" spans="9:9" x14ac:dyDescent="0.25">
      <c r="I896" s="2"/>
    </row>
    <row r="897" spans="9:9" x14ac:dyDescent="0.25">
      <c r="I897" s="2"/>
    </row>
    <row r="898" spans="9:9" x14ac:dyDescent="0.25">
      <c r="I898" s="2"/>
    </row>
    <row r="899" spans="9:9" x14ac:dyDescent="0.25">
      <c r="I899" s="2"/>
    </row>
    <row r="900" spans="9:9" x14ac:dyDescent="0.25">
      <c r="I900" s="2"/>
    </row>
    <row r="901" spans="9:9" x14ac:dyDescent="0.25">
      <c r="I901" s="2"/>
    </row>
    <row r="902" spans="9:9" x14ac:dyDescent="0.25">
      <c r="I902" s="2"/>
    </row>
    <row r="903" spans="9:9" x14ac:dyDescent="0.25">
      <c r="I903" s="2"/>
    </row>
    <row r="904" spans="9:9" x14ac:dyDescent="0.25">
      <c r="I904" s="2"/>
    </row>
    <row r="905" spans="9:9" x14ac:dyDescent="0.25">
      <c r="I905" s="2"/>
    </row>
    <row r="906" spans="9:9" x14ac:dyDescent="0.25">
      <c r="I906" s="2"/>
    </row>
    <row r="907" spans="9:9" x14ac:dyDescent="0.25">
      <c r="I907" s="2"/>
    </row>
    <row r="908" spans="9:9" x14ac:dyDescent="0.25">
      <c r="I908" s="2"/>
    </row>
    <row r="909" spans="9:9" x14ac:dyDescent="0.25">
      <c r="I909" s="2"/>
    </row>
    <row r="910" spans="9:9" x14ac:dyDescent="0.25">
      <c r="I910" s="2"/>
    </row>
    <row r="911" spans="9:9" x14ac:dyDescent="0.25">
      <c r="I911" s="2"/>
    </row>
    <row r="912" spans="9:9" x14ac:dyDescent="0.25">
      <c r="I912" s="2"/>
    </row>
    <row r="913" spans="9:9" x14ac:dyDescent="0.25">
      <c r="I913" s="2"/>
    </row>
    <row r="914" spans="9:9" x14ac:dyDescent="0.25">
      <c r="I914" s="2"/>
    </row>
    <row r="915" spans="9:9" x14ac:dyDescent="0.25">
      <c r="I915" s="2"/>
    </row>
    <row r="916" spans="9:9" x14ac:dyDescent="0.25">
      <c r="I916" s="2"/>
    </row>
    <row r="917" spans="9:9" x14ac:dyDescent="0.25">
      <c r="I917" s="2"/>
    </row>
    <row r="918" spans="9:9" x14ac:dyDescent="0.25">
      <c r="I918" s="2"/>
    </row>
    <row r="919" spans="9:9" x14ac:dyDescent="0.25">
      <c r="I919" s="2"/>
    </row>
    <row r="920" spans="9:9" x14ac:dyDescent="0.25">
      <c r="I920" s="2"/>
    </row>
    <row r="921" spans="9:9" x14ac:dyDescent="0.25">
      <c r="I921" s="2"/>
    </row>
    <row r="922" spans="9:9" x14ac:dyDescent="0.25">
      <c r="I922" s="2"/>
    </row>
    <row r="923" spans="9:9" x14ac:dyDescent="0.25">
      <c r="I923" s="2"/>
    </row>
    <row r="924" spans="9:9" x14ac:dyDescent="0.25">
      <c r="I924" s="2"/>
    </row>
    <row r="925" spans="9:9" x14ac:dyDescent="0.25">
      <c r="I925" s="2"/>
    </row>
    <row r="926" spans="9:9" x14ac:dyDescent="0.25">
      <c r="I926" s="2"/>
    </row>
    <row r="927" spans="9:9" x14ac:dyDescent="0.25">
      <c r="I927" s="2"/>
    </row>
    <row r="928" spans="9:9" x14ac:dyDescent="0.25">
      <c r="I928" s="2"/>
    </row>
    <row r="929" spans="9:9" x14ac:dyDescent="0.25">
      <c r="I929" s="2"/>
    </row>
    <row r="930" spans="9:9" x14ac:dyDescent="0.25">
      <c r="I930" s="2"/>
    </row>
    <row r="931" spans="9:9" x14ac:dyDescent="0.25">
      <c r="I931" s="2"/>
    </row>
    <row r="932" spans="9:9" x14ac:dyDescent="0.25">
      <c r="I932" s="2"/>
    </row>
    <row r="933" spans="9:9" x14ac:dyDescent="0.25">
      <c r="I933" s="2"/>
    </row>
    <row r="934" spans="9:9" x14ac:dyDescent="0.25">
      <c r="I934" s="2"/>
    </row>
    <row r="935" spans="9:9" x14ac:dyDescent="0.25">
      <c r="I935" s="2"/>
    </row>
    <row r="936" spans="9:9" x14ac:dyDescent="0.25">
      <c r="I936" s="2"/>
    </row>
    <row r="937" spans="9:9" x14ac:dyDescent="0.25">
      <c r="I937" s="2"/>
    </row>
    <row r="938" spans="9:9" x14ac:dyDescent="0.25">
      <c r="I938" s="2"/>
    </row>
    <row r="939" spans="9:9" x14ac:dyDescent="0.25">
      <c r="I939" s="2"/>
    </row>
    <row r="940" spans="9:9" x14ac:dyDescent="0.25">
      <c r="I940" s="2"/>
    </row>
    <row r="941" spans="9:9" x14ac:dyDescent="0.25">
      <c r="I941" s="2"/>
    </row>
    <row r="942" spans="9:9" x14ac:dyDescent="0.25">
      <c r="I942" s="2"/>
    </row>
    <row r="943" spans="9:9" x14ac:dyDescent="0.25">
      <c r="I943" s="2"/>
    </row>
    <row r="944" spans="9:9" x14ac:dyDescent="0.25">
      <c r="I944" s="2"/>
    </row>
    <row r="945" spans="9:9" x14ac:dyDescent="0.25">
      <c r="I945" s="2"/>
    </row>
    <row r="946" spans="9:9" x14ac:dyDescent="0.25">
      <c r="I946" s="2"/>
    </row>
    <row r="947" spans="9:9" x14ac:dyDescent="0.25">
      <c r="I947" s="2"/>
    </row>
    <row r="948" spans="9:9" x14ac:dyDescent="0.25">
      <c r="I948" s="2"/>
    </row>
    <row r="949" spans="9:9" x14ac:dyDescent="0.25">
      <c r="I949" s="2"/>
    </row>
    <row r="950" spans="9:9" x14ac:dyDescent="0.25">
      <c r="I950" s="2"/>
    </row>
    <row r="951" spans="9:9" x14ac:dyDescent="0.25">
      <c r="I951" s="2"/>
    </row>
    <row r="952" spans="9:9" x14ac:dyDescent="0.25">
      <c r="I952" s="2"/>
    </row>
    <row r="953" spans="9:9" x14ac:dyDescent="0.25">
      <c r="I953" s="2"/>
    </row>
    <row r="954" spans="9:9" x14ac:dyDescent="0.25">
      <c r="I954" s="2"/>
    </row>
    <row r="955" spans="9:9" x14ac:dyDescent="0.25">
      <c r="I955" s="2"/>
    </row>
    <row r="956" spans="9:9" x14ac:dyDescent="0.25">
      <c r="I956" s="2"/>
    </row>
    <row r="957" spans="9:9" x14ac:dyDescent="0.25">
      <c r="I957" s="2"/>
    </row>
    <row r="958" spans="9:9" x14ac:dyDescent="0.25">
      <c r="I958" s="2"/>
    </row>
    <row r="959" spans="9:9" x14ac:dyDescent="0.25">
      <c r="I959" s="2"/>
    </row>
    <row r="960" spans="9:9" x14ac:dyDescent="0.25">
      <c r="I960" s="2"/>
    </row>
    <row r="961" spans="9:9" x14ac:dyDescent="0.25">
      <c r="I961" s="2"/>
    </row>
    <row r="962" spans="9:9" x14ac:dyDescent="0.25">
      <c r="I962" s="2"/>
    </row>
    <row r="963" spans="9:9" x14ac:dyDescent="0.25">
      <c r="I963" s="2"/>
    </row>
    <row r="964" spans="9:9" x14ac:dyDescent="0.25">
      <c r="I964" s="2"/>
    </row>
    <row r="965" spans="9:9" x14ac:dyDescent="0.25">
      <c r="I965" s="2"/>
    </row>
    <row r="966" spans="9:9" x14ac:dyDescent="0.25">
      <c r="I966" s="2"/>
    </row>
    <row r="967" spans="9:9" x14ac:dyDescent="0.25">
      <c r="I967" s="2"/>
    </row>
    <row r="968" spans="9:9" x14ac:dyDescent="0.25">
      <c r="I968" s="2"/>
    </row>
    <row r="969" spans="9:9" x14ac:dyDescent="0.25">
      <c r="I969" s="2"/>
    </row>
    <row r="970" spans="9:9" x14ac:dyDescent="0.25">
      <c r="I970" s="2"/>
    </row>
    <row r="971" spans="9:9" x14ac:dyDescent="0.25">
      <c r="I971" s="2"/>
    </row>
    <row r="972" spans="9:9" x14ac:dyDescent="0.25">
      <c r="I972" s="2"/>
    </row>
    <row r="973" spans="9:9" x14ac:dyDescent="0.25">
      <c r="I973" s="2"/>
    </row>
    <row r="974" spans="9:9" x14ac:dyDescent="0.25">
      <c r="I974" s="2"/>
    </row>
    <row r="975" spans="9:9" x14ac:dyDescent="0.25">
      <c r="I975" s="2"/>
    </row>
    <row r="976" spans="9:9" x14ac:dyDescent="0.25">
      <c r="I976" s="2"/>
    </row>
    <row r="977" spans="9:9" x14ac:dyDescent="0.25">
      <c r="I977" s="2"/>
    </row>
    <row r="978" spans="9:9" x14ac:dyDescent="0.25">
      <c r="I978" s="2"/>
    </row>
    <row r="979" spans="9:9" x14ac:dyDescent="0.25">
      <c r="I979" s="2"/>
    </row>
    <row r="980" spans="9:9" x14ac:dyDescent="0.25">
      <c r="I980" s="2"/>
    </row>
    <row r="981" spans="9:9" x14ac:dyDescent="0.25">
      <c r="I981" s="2"/>
    </row>
    <row r="982" spans="9:9" x14ac:dyDescent="0.25">
      <c r="I982" s="2"/>
    </row>
    <row r="983" spans="9:9" x14ac:dyDescent="0.25">
      <c r="I983" s="2"/>
    </row>
    <row r="984" spans="9:9" x14ac:dyDescent="0.25">
      <c r="I984" s="2"/>
    </row>
    <row r="985" spans="9:9" x14ac:dyDescent="0.25">
      <c r="I985" s="2"/>
    </row>
    <row r="986" spans="9:9" x14ac:dyDescent="0.25">
      <c r="I986" s="2"/>
    </row>
    <row r="987" spans="9:9" x14ac:dyDescent="0.25">
      <c r="I987" s="2"/>
    </row>
    <row r="988" spans="9:9" x14ac:dyDescent="0.25">
      <c r="I988" s="2"/>
    </row>
    <row r="989" spans="9:9" x14ac:dyDescent="0.25">
      <c r="I989" s="2"/>
    </row>
    <row r="990" spans="9:9" x14ac:dyDescent="0.25">
      <c r="I990" s="2"/>
    </row>
    <row r="991" spans="9:9" x14ac:dyDescent="0.25">
      <c r="I991" s="2"/>
    </row>
    <row r="992" spans="9:9" x14ac:dyDescent="0.25">
      <c r="I992" s="2"/>
    </row>
    <row r="993" spans="9:9" x14ac:dyDescent="0.25">
      <c r="I993" s="2"/>
    </row>
    <row r="994" spans="9:9" x14ac:dyDescent="0.25">
      <c r="I994" s="2"/>
    </row>
    <row r="995" spans="9:9" x14ac:dyDescent="0.25">
      <c r="I995" s="2"/>
    </row>
    <row r="996" spans="9:9" x14ac:dyDescent="0.25">
      <c r="I996" s="2"/>
    </row>
    <row r="997" spans="9:9" x14ac:dyDescent="0.25">
      <c r="I997" s="2"/>
    </row>
    <row r="998" spans="9:9" x14ac:dyDescent="0.25">
      <c r="I998" s="2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Dahlin</dc:creator>
  <cp:lastModifiedBy>Jessica Bos</cp:lastModifiedBy>
  <cp:lastPrinted>2017-09-27T17:59:50Z</cp:lastPrinted>
  <dcterms:created xsi:type="dcterms:W3CDTF">2016-01-05T13:32:35Z</dcterms:created>
  <dcterms:modified xsi:type="dcterms:W3CDTF">2023-06-12T07:20:08Z</dcterms:modified>
</cp:coreProperties>
</file>